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7.xml" ContentType="application/vnd.openxmlformats-officedocument.drawing+xml"/>
  <Override PartName="/xl/comments8.xml" ContentType="application/vnd.openxmlformats-officedocument.spreadsheetml.comments+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dsv01\Shr_Data2\01240100財政課\R5年度\03 予算\オープンデータ\★R5年度分提出\令和６年度当初予算\"/>
    </mc:Choice>
  </mc:AlternateContent>
  <bookViews>
    <workbookView xWindow="270" yWindow="555" windowWidth="16095" windowHeight="4725" tabRatio="873" firstSheet="14" activeTab="14"/>
  </bookViews>
  <sheets>
    <sheet name="会計一覧" sheetId="10" state="hidden" r:id="rId1"/>
    <sheet name="会計一覧　下段コメント用" sheetId="54" state="hidden" r:id="rId2"/>
    <sheet name="歳入款別" sheetId="57" state="hidden" r:id="rId3"/>
    <sheet name="歳入款別G" sheetId="48" state="hidden" r:id="rId4"/>
    <sheet name="歳出目的別" sheetId="58" state="hidden" r:id="rId5"/>
    <sheet name="歳出目的別 G" sheetId="49" state="hidden" r:id="rId6"/>
    <sheet name="歳出性質別" sheetId="41" state="hidden" r:id="rId7"/>
    <sheet name="歳出性質別 G" sheetId="50" state="hidden" r:id="rId8"/>
    <sheet name="財源" sheetId="35" state="hidden" r:id="rId9"/>
    <sheet name="財源G" sheetId="51" state="hidden" r:id="rId10"/>
    <sheet name="債務負担（黒）" sheetId="63" state="hidden" r:id="rId11"/>
    <sheet name="市債" sheetId="64" state="hidden" r:id="rId12"/>
    <sheet name="市債G" sheetId="65" state="hidden" r:id="rId13"/>
    <sheet name="グラフデータ" sheetId="47" state="hidden" r:id="rId14"/>
    <sheet name="会計別一覧表" sheetId="61" r:id="rId15"/>
    <sheet name="一般会計　歳入款別" sheetId="66" r:id="rId16"/>
    <sheet name="一般会計　歳出目的別" sheetId="69" r:id="rId17"/>
    <sheet name="一般会計　歳出性質別" sheetId="70" r:id="rId18"/>
    <sheet name="自主財源と依存財源" sheetId="67" r:id="rId19"/>
    <sheet name="債務負担行為" sheetId="68" r:id="rId20"/>
    <sheet name="地方債" sheetId="71" r:id="rId21"/>
    <sheet name="款別主要事業　歳入" sheetId="73" r:id="rId22"/>
    <sheet name="款別主要事業　歳出 " sheetId="74" r:id="rId23"/>
  </sheets>
  <definedNames>
    <definedName name="_xlnm._FilterDatabase" localSheetId="22" hidden="1">'款別主要事業　歳出 '!$A$5:$I$241</definedName>
    <definedName name="_xlnm._FilterDatabase" localSheetId="21" hidden="1">'款別主要事業　歳入'!$A$1:$D$156</definedName>
    <definedName name="_xlnm.Print_Area" localSheetId="13">グラフデータ!$A$1:$V$99</definedName>
    <definedName name="_xlnm.Print_Area" localSheetId="0">会計一覧!$A$1:$G$34</definedName>
    <definedName name="_xlnm.Print_Area" localSheetId="1">'会計一覧　下段コメント用'!$A$1:$F$16</definedName>
    <definedName name="_xlnm.Print_Area" localSheetId="22">'款別主要事業　歳出 '!$B$1:$I$255</definedName>
    <definedName name="_xlnm.Print_Area" localSheetId="21">'款別主要事業　歳入'!$A$1:$D$156</definedName>
    <definedName name="_xlnm.Print_Area" localSheetId="10">'債務負担（黒）'!$A$1:$I$23</definedName>
    <definedName name="_xlnm.Print_Area" localSheetId="6">歳出性質別!$A$1:$P$22</definedName>
    <definedName name="_xlnm.Print_Area" localSheetId="7">'歳出性質別 G'!$A$1:$AA$49</definedName>
    <definedName name="_xlnm.Print_Area" localSheetId="4">歳出目的別!$A$1:$N$26</definedName>
    <definedName name="_xlnm.Print_Area" localSheetId="5">'歳出目的別 G'!$A$1:$AB$48</definedName>
    <definedName name="_xlnm.Print_Area" localSheetId="2">歳入款別!$A$1:$N$26</definedName>
    <definedName name="_xlnm.Print_Area" localSheetId="3">歳入款別G!$A$1:$AB$58</definedName>
    <definedName name="_xlnm.Print_Area" localSheetId="8">財源!$A$1:$N$27</definedName>
    <definedName name="_xlnm.Print_Area" localSheetId="9">財源G!$A$1:$AB$53</definedName>
    <definedName name="_xlnm.Print_Area" localSheetId="11">市債!$A$1:$I$30</definedName>
    <definedName name="_xlnm.Print_Area" localSheetId="12">市債G!$A$1:$X$64</definedName>
    <definedName name="_xlnm.Print_Titles" localSheetId="22">'款別主要事業　歳出 '!$2:$4</definedName>
    <definedName name="_xlnm.Print_Titles" localSheetId="21">'款別主要事業　歳入'!$3:$4</definedName>
    <definedName name="連絡先" localSheetId="1">#REF!</definedName>
    <definedName name="連絡先" localSheetId="10">#REF!</definedName>
    <definedName name="連絡先" localSheetId="11">#REF!</definedName>
    <definedName name="連絡先" localSheetId="12">#REF!</definedName>
    <definedName name="連絡先">#REF!</definedName>
  </definedNames>
  <calcPr calcId="162913"/>
</workbook>
</file>

<file path=xl/calcChain.xml><?xml version="1.0" encoding="utf-8"?>
<calcChain xmlns="http://schemas.openxmlformats.org/spreadsheetml/2006/main">
  <c r="B3" i="74" l="1"/>
  <c r="B6" i="74"/>
  <c r="B24" i="74"/>
  <c r="B25" i="74"/>
  <c r="B26" i="74"/>
  <c r="H26" i="74"/>
  <c r="B28" i="74"/>
  <c r="B40" i="74"/>
  <c r="B41" i="74"/>
  <c r="B124" i="74"/>
  <c r="B136" i="74"/>
  <c r="B146" i="74"/>
  <c r="B148" i="74"/>
  <c r="B149" i="74"/>
  <c r="B150" i="74"/>
  <c r="B171" i="74"/>
  <c r="H175" i="74"/>
  <c r="B177" i="74"/>
  <c r="B185" i="74"/>
  <c r="H228" i="74"/>
  <c r="H233" i="74"/>
  <c r="H244" i="74"/>
  <c r="B247" i="74"/>
  <c r="B249" i="74"/>
  <c r="D249" i="74"/>
  <c r="B250" i="74"/>
  <c r="D250" i="74"/>
  <c r="H254" i="74"/>
  <c r="C4" i="73"/>
  <c r="A17" i="73"/>
  <c r="A18" i="73"/>
  <c r="A19" i="73"/>
  <c r="A20" i="73"/>
  <c r="B20" i="73"/>
  <c r="A21" i="73"/>
  <c r="A24" i="73"/>
  <c r="A28" i="73"/>
  <c r="A46" i="73"/>
  <c r="A80" i="73"/>
  <c r="A106" i="73"/>
  <c r="A108" i="73"/>
  <c r="A112" i="73"/>
  <c r="A117" i="73"/>
  <c r="A119" i="73"/>
  <c r="A132" i="73"/>
  <c r="D156" i="73"/>
  <c r="E66" i="47" l="1"/>
  <c r="D66" i="47"/>
  <c r="E70" i="47"/>
  <c r="D70" i="47"/>
  <c r="K27" i="47" l="1"/>
  <c r="Q23" i="10"/>
  <c r="Q24" i="10"/>
  <c r="Q25" i="10"/>
  <c r="Q26" i="10"/>
  <c r="W36" i="65" l="1"/>
  <c r="U36" i="65" l="1"/>
  <c r="S13" i="41" l="1"/>
  <c r="E8" i="54" l="1"/>
  <c r="E9" i="54"/>
  <c r="E10" i="54"/>
  <c r="E11" i="54"/>
  <c r="Q31" i="48" l="1"/>
  <c r="Q30" i="48"/>
  <c r="Q29" i="48"/>
  <c r="Q28" i="48"/>
  <c r="Q27" i="48"/>
  <c r="Q20" i="48"/>
  <c r="Q21" i="48"/>
  <c r="Q22" i="48"/>
  <c r="Q23" i="48"/>
  <c r="Q24" i="48"/>
  <c r="Q25" i="48"/>
  <c r="Q26" i="48"/>
  <c r="Q19" i="48"/>
  <c r="D87" i="47" l="1"/>
  <c r="D83" i="47" l="1"/>
  <c r="D85" i="47" l="1"/>
  <c r="C5" i="41"/>
  <c r="S5" i="41" s="1"/>
  <c r="C31" i="64" l="1"/>
  <c r="I22" i="41" l="1"/>
  <c r="U63" i="65" l="1"/>
  <c r="S63" i="65"/>
  <c r="Q63" i="65"/>
  <c r="O63" i="65"/>
  <c r="M63" i="65"/>
  <c r="K63" i="65"/>
  <c r="I63" i="65"/>
  <c r="G63" i="65"/>
  <c r="E63" i="65"/>
  <c r="S36" i="65" l="1"/>
  <c r="Q36" i="65"/>
  <c r="O36" i="65"/>
  <c r="M36" i="65"/>
  <c r="K36" i="65"/>
  <c r="I36" i="65"/>
  <c r="G36" i="65"/>
  <c r="E36" i="65"/>
  <c r="E7" i="10" l="1"/>
  <c r="M6" i="51" l="1"/>
  <c r="Q32" i="10" l="1"/>
  <c r="Q31" i="10"/>
  <c r="Q30" i="10"/>
  <c r="E12" i="54" l="1"/>
  <c r="E13" i="50" l="1"/>
  <c r="E11" i="50"/>
  <c r="W11" i="50"/>
  <c r="W10" i="50"/>
  <c r="W9" i="50"/>
  <c r="W8" i="50"/>
  <c r="C21" i="41" l="1"/>
  <c r="S21" i="41" s="1"/>
  <c r="C20" i="41"/>
  <c r="S20" i="41" s="1"/>
  <c r="C19" i="41"/>
  <c r="S19" i="41" s="1"/>
  <c r="C17" i="41"/>
  <c r="S17" i="41" s="1"/>
  <c r="C15" i="41"/>
  <c r="S15" i="41" s="1"/>
  <c r="C14" i="41"/>
  <c r="S14" i="41" s="1"/>
  <c r="C12" i="41"/>
  <c r="S12" i="41" s="1"/>
  <c r="C11" i="41"/>
  <c r="S11" i="41" s="1"/>
  <c r="C10" i="41"/>
  <c r="S10" i="41" s="1"/>
  <c r="C9" i="41"/>
  <c r="S9" i="41" s="1"/>
  <c r="C6" i="41"/>
  <c r="S6" i="41" s="1"/>
  <c r="C7" i="41"/>
  <c r="S7" i="41" s="1"/>
  <c r="C18" i="41" l="1"/>
  <c r="S18" i="41" s="1"/>
  <c r="E12" i="50"/>
  <c r="G27" i="47"/>
  <c r="H27" i="47"/>
  <c r="D93" i="47" l="1"/>
  <c r="E81" i="47"/>
  <c r="D81" i="47"/>
  <c r="E50" i="47"/>
  <c r="D50" i="47"/>
  <c r="D46" i="47"/>
  <c r="W14" i="49" s="1"/>
  <c r="AD14" i="49" s="1"/>
  <c r="D45" i="47"/>
  <c r="W13" i="49" s="1"/>
  <c r="AD13" i="49" s="1"/>
  <c r="D44" i="47"/>
  <c r="W12" i="49" s="1"/>
  <c r="AD12" i="49" s="1"/>
  <c r="D43" i="47"/>
  <c r="W11" i="49" s="1"/>
  <c r="AD11" i="49" s="1"/>
  <c r="D42" i="47"/>
  <c r="W10" i="49" s="1"/>
  <c r="AD10" i="49" s="1"/>
  <c r="D41" i="47"/>
  <c r="W9" i="49" s="1"/>
  <c r="AD9" i="49" s="1"/>
  <c r="D40" i="47"/>
  <c r="W8" i="49" s="1"/>
  <c r="AD8" i="49" s="1"/>
  <c r="D38" i="47"/>
  <c r="D37" i="47"/>
  <c r="D36" i="47"/>
  <c r="D34" i="47"/>
  <c r="D35" i="47"/>
  <c r="D33" i="47"/>
  <c r="D32" i="47"/>
  <c r="E31" i="47"/>
  <c r="D31" i="47"/>
  <c r="D24" i="47"/>
  <c r="W29" i="48" s="1"/>
  <c r="AD29" i="48" s="1"/>
  <c r="D26" i="47"/>
  <c r="W31" i="48" s="1"/>
  <c r="AD31" i="48" s="1"/>
  <c r="D25" i="47"/>
  <c r="W30" i="48" s="1"/>
  <c r="AD30" i="48" s="1"/>
  <c r="D23" i="47"/>
  <c r="W28" i="48" s="1"/>
  <c r="AD28" i="48" s="1"/>
  <c r="D22" i="47"/>
  <c r="W27" i="48" s="1"/>
  <c r="AD27" i="48" s="1"/>
  <c r="D19" i="47"/>
  <c r="D20" i="47"/>
  <c r="D18" i="47"/>
  <c r="D13" i="47"/>
  <c r="D17" i="47"/>
  <c r="D16" i="47"/>
  <c r="D15" i="47"/>
  <c r="W21" i="48" s="1"/>
  <c r="AD21" i="48" s="1"/>
  <c r="D14" i="47"/>
  <c r="D11" i="47"/>
  <c r="D53" i="47" s="1"/>
  <c r="D9" i="47"/>
  <c r="D52" i="47" s="1"/>
  <c r="D10" i="47"/>
  <c r="D65" i="47" s="1"/>
  <c r="D7" i="47"/>
  <c r="D8" i="47"/>
  <c r="D64" i="47" s="1"/>
  <c r="D6" i="47"/>
  <c r="D62" i="47" s="1"/>
  <c r="D5" i="47"/>
  <c r="D61" i="47" s="1"/>
  <c r="D4" i="47"/>
  <c r="D63" i="47" l="1"/>
  <c r="D56" i="47"/>
  <c r="F51" i="51" s="1"/>
  <c r="W23" i="48"/>
  <c r="AD23" i="48" s="1"/>
  <c r="W24" i="48"/>
  <c r="AD24" i="48" s="1"/>
  <c r="R6" i="51"/>
  <c r="D12" i="47"/>
  <c r="D27" i="47" s="1"/>
  <c r="Z27" i="47" s="1"/>
  <c r="W19" i="48"/>
  <c r="AD19" i="48" s="1"/>
  <c r="AA19" i="48" s="1"/>
  <c r="D75" i="47"/>
  <c r="R8" i="51" s="1"/>
  <c r="W26" i="48"/>
  <c r="AD26" i="48" s="1"/>
  <c r="D74" i="47"/>
  <c r="R7" i="51" s="1"/>
  <c r="W25" i="48"/>
  <c r="AD25" i="48" s="1"/>
  <c r="D51" i="47"/>
  <c r="D54" i="47"/>
  <c r="W20" i="48"/>
  <c r="AD20" i="48" s="1"/>
  <c r="AA20" i="48" s="1"/>
  <c r="D67" i="47"/>
  <c r="W22" i="48"/>
  <c r="AD22" i="48" s="1"/>
  <c r="AA22" i="48" s="1"/>
  <c r="D98" i="47"/>
  <c r="AA29" i="48"/>
  <c r="D73" i="47"/>
  <c r="R10" i="51" s="1"/>
  <c r="D58" i="47"/>
  <c r="F52" i="51" s="1"/>
  <c r="D59" i="47"/>
  <c r="F53" i="51" s="1"/>
  <c r="AA27" i="48"/>
  <c r="D71" i="47"/>
  <c r="R9" i="51" s="1"/>
  <c r="D72" i="47"/>
  <c r="R11" i="51" s="1"/>
  <c r="D57" i="47"/>
  <c r="F50" i="51" s="1"/>
  <c r="D39" i="47"/>
  <c r="D47" i="47" s="1"/>
  <c r="D100" i="47"/>
  <c r="W63" i="65"/>
  <c r="E92" i="47" l="1"/>
  <c r="F90" i="47"/>
  <c r="F89" i="47"/>
  <c r="F82" i="47"/>
  <c r="F92" i="47"/>
  <c r="F86" i="47"/>
  <c r="F96" i="47"/>
  <c r="F95" i="47"/>
  <c r="F94" i="47"/>
  <c r="F88" i="47"/>
  <c r="F97" i="47"/>
  <c r="F91" i="47"/>
  <c r="F84" i="47"/>
  <c r="F87" i="47"/>
  <c r="F83" i="47"/>
  <c r="F85" i="47"/>
  <c r="E93" i="47"/>
  <c r="F93" i="47"/>
  <c r="E91" i="47"/>
  <c r="E89" i="47"/>
  <c r="E97" i="47"/>
  <c r="Z11" i="50" s="1"/>
  <c r="E90" i="47"/>
  <c r="E84" i="47"/>
  <c r="E82" i="47"/>
  <c r="E86" i="47"/>
  <c r="H11" i="50" s="1"/>
  <c r="E96" i="47"/>
  <c r="Z10" i="50" s="1"/>
  <c r="E88" i="47"/>
  <c r="H13" i="50" s="1"/>
  <c r="E95" i="47"/>
  <c r="Z9" i="50" s="1"/>
  <c r="E94" i="47"/>
  <c r="Z8" i="50" s="1"/>
  <c r="E83" i="47"/>
  <c r="E87" i="47"/>
  <c r="H12" i="50" s="1"/>
  <c r="E85" i="47"/>
  <c r="E98" i="47" l="1"/>
  <c r="H19" i="58"/>
  <c r="E6" i="54" l="1"/>
  <c r="E7" i="54"/>
  <c r="E13" i="54"/>
  <c r="E14" i="54"/>
  <c r="E5" i="54"/>
  <c r="M8" i="51" l="1"/>
  <c r="M7" i="51"/>
  <c r="I81" i="47" l="1"/>
  <c r="S25" i="57" l="1"/>
  <c r="D7" i="10" l="1"/>
  <c r="I100" i="47" l="1"/>
  <c r="M27" i="47"/>
  <c r="I27" i="47" l="1"/>
  <c r="J27" i="47"/>
  <c r="AB27" i="47" l="1"/>
  <c r="AA27" i="47"/>
  <c r="Q100" i="47"/>
  <c r="O100" i="47"/>
  <c r="M100" i="47"/>
  <c r="K100" i="47"/>
  <c r="N10" i="57" l="1"/>
  <c r="M11" i="51" l="1"/>
  <c r="M10" i="51"/>
  <c r="M9" i="51"/>
  <c r="H25" i="35"/>
  <c r="H24" i="35"/>
  <c r="H23" i="35"/>
  <c r="H22" i="35"/>
  <c r="H21" i="35"/>
  <c r="H20" i="35"/>
  <c r="H19" i="35"/>
  <c r="H18" i="35"/>
  <c r="H17" i="35"/>
  <c r="H16" i="35"/>
  <c r="H15" i="35"/>
  <c r="H14" i="35"/>
  <c r="H13" i="35"/>
  <c r="H11" i="35"/>
  <c r="H10" i="35"/>
  <c r="H9" i="35"/>
  <c r="H8" i="35"/>
  <c r="H7" i="35"/>
  <c r="H6" i="35"/>
  <c r="H5" i="35"/>
  <c r="H4" i="35"/>
  <c r="X31" i="47" l="1"/>
  <c r="W31" i="47"/>
  <c r="V31" i="47"/>
  <c r="U31" i="47"/>
  <c r="T31" i="47"/>
  <c r="S31" i="47"/>
  <c r="R31" i="47"/>
  <c r="Q31" i="47"/>
  <c r="P31" i="47"/>
  <c r="O31" i="47"/>
  <c r="N31" i="47"/>
  <c r="M31" i="47"/>
  <c r="L31" i="47"/>
  <c r="K31" i="47"/>
  <c r="J31" i="47"/>
  <c r="I31" i="47"/>
  <c r="H31" i="47"/>
  <c r="G31" i="47"/>
  <c r="Z14" i="49"/>
  <c r="Z13" i="49"/>
  <c r="Z12" i="49"/>
  <c r="Z11" i="49"/>
  <c r="Z10" i="49"/>
  <c r="Z9" i="49"/>
  <c r="AA24" i="48" l="1"/>
  <c r="AA30" i="48"/>
  <c r="AA23" i="48"/>
  <c r="D55" i="47"/>
  <c r="Z8" i="49"/>
  <c r="AA21" i="48"/>
  <c r="AA25" i="48"/>
  <c r="AA31" i="48"/>
  <c r="AA26" i="48"/>
  <c r="AA28" i="48"/>
  <c r="D68" i="47" l="1"/>
  <c r="D76" i="47" s="1"/>
  <c r="D60" i="47"/>
  <c r="H26" i="35"/>
  <c r="D77" i="47" l="1"/>
  <c r="E17" i="10"/>
  <c r="X81" i="47" l="1"/>
  <c r="W81" i="47"/>
  <c r="V81" i="47"/>
  <c r="U81" i="47"/>
  <c r="T81" i="47"/>
  <c r="S81" i="47"/>
  <c r="R81" i="47"/>
  <c r="Q81" i="47"/>
  <c r="P81" i="47"/>
  <c r="O81" i="47"/>
  <c r="N81" i="47"/>
  <c r="M81" i="47"/>
  <c r="L81" i="47"/>
  <c r="K81" i="47"/>
  <c r="H81" i="47"/>
  <c r="G81" i="47"/>
  <c r="X50" i="47"/>
  <c r="W50" i="47"/>
  <c r="V50" i="47"/>
  <c r="U50" i="47"/>
  <c r="T50" i="47"/>
  <c r="S50" i="47"/>
  <c r="R50" i="47"/>
  <c r="Q50" i="47"/>
  <c r="P50" i="47"/>
  <c r="O50" i="47"/>
  <c r="N50" i="47"/>
  <c r="M50" i="47"/>
  <c r="L50" i="47"/>
  <c r="K50" i="47"/>
  <c r="H50" i="47"/>
  <c r="G50" i="47"/>
  <c r="C17" i="35" l="1"/>
  <c r="N17" i="35" s="1"/>
  <c r="M10" i="57"/>
  <c r="N12" i="57"/>
  <c r="H26" i="57"/>
  <c r="C26" i="57"/>
  <c r="F15" i="10"/>
  <c r="G15" i="10" s="1"/>
  <c r="M17" i="35" l="1"/>
  <c r="D10" i="57"/>
  <c r="E10" i="57" s="1"/>
  <c r="I10" i="57"/>
  <c r="J10" i="57" s="1"/>
  <c r="M12" i="57" l="1"/>
  <c r="C6" i="35" l="1"/>
  <c r="C5" i="35"/>
  <c r="C19" i="35"/>
  <c r="C7" i="35"/>
  <c r="C8" i="35"/>
  <c r="M19" i="35" l="1"/>
  <c r="N19" i="35"/>
  <c r="D12" i="57" l="1"/>
  <c r="E12" i="57" s="1"/>
  <c r="D17" i="10" l="1"/>
  <c r="Q27" i="10" l="1"/>
  <c r="F11" i="10" l="1"/>
  <c r="G11" i="10" s="1"/>
  <c r="G100" i="47" l="1"/>
  <c r="I12" i="57" l="1"/>
  <c r="J12" i="57" s="1"/>
  <c r="H12" i="35"/>
  <c r="H27" i="35" s="1"/>
  <c r="I17" i="35" s="1"/>
  <c r="J17" i="35" s="1"/>
  <c r="I19" i="35" l="1"/>
  <c r="J19" i="35" s="1"/>
  <c r="C8" i="41"/>
  <c r="S8" i="41" s="1"/>
  <c r="C19" i="58" l="1"/>
  <c r="D18" i="58" s="1"/>
  <c r="N18" i="58"/>
  <c r="M18" i="58"/>
  <c r="I18" i="58"/>
  <c r="J18" i="58" s="1"/>
  <c r="N17" i="58"/>
  <c r="M17" i="58"/>
  <c r="I17" i="58"/>
  <c r="J17" i="58" s="1"/>
  <c r="N16" i="58"/>
  <c r="M16" i="58"/>
  <c r="I16" i="58"/>
  <c r="J16" i="58" s="1"/>
  <c r="N15" i="58"/>
  <c r="M15" i="58"/>
  <c r="I15" i="58"/>
  <c r="J15" i="58" s="1"/>
  <c r="N14" i="58"/>
  <c r="M14" i="58"/>
  <c r="I14" i="58"/>
  <c r="J14" i="58" s="1"/>
  <c r="N13" i="58"/>
  <c r="M13" i="58"/>
  <c r="I13" i="58"/>
  <c r="J13" i="58" s="1"/>
  <c r="N12" i="58"/>
  <c r="M12" i="58"/>
  <c r="I12" i="58"/>
  <c r="J12" i="58" s="1"/>
  <c r="N11" i="58"/>
  <c r="M11" i="58"/>
  <c r="I11" i="58"/>
  <c r="J11" i="58" s="1"/>
  <c r="N10" i="58"/>
  <c r="M10" i="58"/>
  <c r="I10" i="58"/>
  <c r="J10" i="58" s="1"/>
  <c r="N9" i="58"/>
  <c r="M9" i="58"/>
  <c r="I9" i="58"/>
  <c r="J9" i="58" s="1"/>
  <c r="N8" i="58"/>
  <c r="M8" i="58"/>
  <c r="I8" i="58"/>
  <c r="J8" i="58" s="1"/>
  <c r="N7" i="58"/>
  <c r="M7" i="58"/>
  <c r="I7" i="58"/>
  <c r="J7" i="58" s="1"/>
  <c r="N6" i="58"/>
  <c r="M6" i="58"/>
  <c r="I6" i="58"/>
  <c r="J6" i="58" s="1"/>
  <c r="N5" i="58"/>
  <c r="M5" i="58"/>
  <c r="I5" i="58"/>
  <c r="J5" i="58" s="1"/>
  <c r="K7" i="58" l="1"/>
  <c r="M19" i="58"/>
  <c r="D5" i="58"/>
  <c r="E5" i="58" s="1"/>
  <c r="D10" i="58"/>
  <c r="E10" i="58" s="1"/>
  <c r="D12" i="58"/>
  <c r="E12" i="58" s="1"/>
  <c r="N19" i="58"/>
  <c r="D6" i="58"/>
  <c r="E6" i="58" s="1"/>
  <c r="D7" i="58"/>
  <c r="E7" i="58" s="1"/>
  <c r="D11" i="58"/>
  <c r="E11" i="58" s="1"/>
  <c r="D13" i="58"/>
  <c r="E13" i="58" s="1"/>
  <c r="D8" i="58"/>
  <c r="E8" i="58" s="1"/>
  <c r="D9" i="58"/>
  <c r="E9" i="58" s="1"/>
  <c r="D14" i="58"/>
  <c r="E14" i="58" s="1"/>
  <c r="D15" i="58"/>
  <c r="E15" i="58" s="1"/>
  <c r="D16" i="58"/>
  <c r="E16" i="58" s="1"/>
  <c r="D17" i="58"/>
  <c r="E17" i="58" s="1"/>
  <c r="E18" i="58"/>
  <c r="K11" i="58"/>
  <c r="I19" i="58"/>
  <c r="I20" i="58" s="1"/>
  <c r="K8" i="58"/>
  <c r="K12" i="58"/>
  <c r="K15" i="58"/>
  <c r="K16" i="58"/>
  <c r="K5" i="58"/>
  <c r="K6" i="58"/>
  <c r="K9" i="58"/>
  <c r="K10" i="58"/>
  <c r="K13" i="58"/>
  <c r="K14" i="58"/>
  <c r="K17" i="58"/>
  <c r="K18" i="58"/>
  <c r="L7" i="58" l="1"/>
  <c r="L18" i="58"/>
  <c r="L13" i="58"/>
  <c r="L5" i="58"/>
  <c r="L8" i="58"/>
  <c r="F8" i="58"/>
  <c r="D19" i="58"/>
  <c r="D20" i="58" s="1"/>
  <c r="F14" i="58"/>
  <c r="L10" i="58"/>
  <c r="L16" i="58"/>
  <c r="L17" i="58"/>
  <c r="L15" i="58"/>
  <c r="L11" i="58"/>
  <c r="L9" i="58"/>
  <c r="L14" i="58"/>
  <c r="L6" i="58"/>
  <c r="L12" i="58"/>
  <c r="F11" i="58"/>
  <c r="F6" i="58"/>
  <c r="F13" i="58"/>
  <c r="F12" i="58"/>
  <c r="F15" i="58"/>
  <c r="F17" i="58"/>
  <c r="F18" i="58"/>
  <c r="F9" i="58"/>
  <c r="F16" i="58"/>
  <c r="F7" i="58"/>
  <c r="F10" i="58"/>
  <c r="F5" i="58"/>
  <c r="C20" i="35"/>
  <c r="C25" i="35"/>
  <c r="C24" i="35"/>
  <c r="C23" i="35"/>
  <c r="C22" i="35"/>
  <c r="C21" i="35"/>
  <c r="C18" i="35"/>
  <c r="N18" i="35" s="1"/>
  <c r="C16" i="35"/>
  <c r="C15" i="35"/>
  <c r="C14" i="35"/>
  <c r="C13" i="35"/>
  <c r="C11" i="35"/>
  <c r="C10" i="35"/>
  <c r="C9" i="35"/>
  <c r="C4" i="35"/>
  <c r="C12" i="35" l="1"/>
  <c r="C26" i="35"/>
  <c r="G15" i="58"/>
  <c r="E46" i="47" s="1"/>
  <c r="G7" i="58"/>
  <c r="E32" i="47" s="1"/>
  <c r="G10" i="58"/>
  <c r="E40" i="47" s="1"/>
  <c r="G18" i="58"/>
  <c r="E43" i="47" s="1"/>
  <c r="G13" i="58"/>
  <c r="E38" i="47" s="1"/>
  <c r="G14" i="58"/>
  <c r="E33" i="47" s="1"/>
  <c r="G17" i="58"/>
  <c r="E45" i="47" s="1"/>
  <c r="L19" i="58"/>
  <c r="G8" i="58"/>
  <c r="E35" i="47" s="1"/>
  <c r="G5" i="58"/>
  <c r="E41" i="47" s="1"/>
  <c r="G9" i="58"/>
  <c r="E44" i="47" s="1"/>
  <c r="G12" i="58"/>
  <c r="E36" i="47" s="1"/>
  <c r="G6" i="58"/>
  <c r="E34" i="47" s="1"/>
  <c r="G16" i="58"/>
  <c r="E37" i="47" s="1"/>
  <c r="G11" i="58"/>
  <c r="E42" i="47" s="1"/>
  <c r="F14" i="10"/>
  <c r="G14" i="10" s="1"/>
  <c r="E39" i="47" l="1"/>
  <c r="E47" i="47" s="1"/>
  <c r="C27" i="35"/>
  <c r="G19" i="58"/>
  <c r="N26" i="57"/>
  <c r="N25" i="57"/>
  <c r="M25" i="57"/>
  <c r="I25" i="57"/>
  <c r="J25" i="57" s="1"/>
  <c r="N24" i="57"/>
  <c r="M24" i="57"/>
  <c r="I24" i="57"/>
  <c r="J24" i="57" s="1"/>
  <c r="N23" i="57"/>
  <c r="M23" i="57"/>
  <c r="I23" i="57"/>
  <c r="J23" i="57" s="1"/>
  <c r="N22" i="57"/>
  <c r="M22" i="57"/>
  <c r="I22" i="57"/>
  <c r="J22" i="57" s="1"/>
  <c r="N21" i="57"/>
  <c r="M21" i="57"/>
  <c r="I21" i="57"/>
  <c r="J21" i="57" s="1"/>
  <c r="N20" i="57"/>
  <c r="M20" i="57"/>
  <c r="I20" i="57"/>
  <c r="J20" i="57" s="1"/>
  <c r="N19" i="57"/>
  <c r="M19" i="57"/>
  <c r="I19" i="57"/>
  <c r="J19" i="57" s="1"/>
  <c r="N18" i="57"/>
  <c r="M18" i="57"/>
  <c r="I18" i="57"/>
  <c r="J18" i="57" s="1"/>
  <c r="N17" i="57"/>
  <c r="M17" i="57"/>
  <c r="I17" i="57"/>
  <c r="J17" i="57" s="1"/>
  <c r="N16" i="57"/>
  <c r="M16" i="57"/>
  <c r="I16" i="57"/>
  <c r="J16" i="57" s="1"/>
  <c r="N15" i="57"/>
  <c r="M15" i="57"/>
  <c r="I15" i="57"/>
  <c r="J15" i="57" s="1"/>
  <c r="N14" i="57"/>
  <c r="M14" i="57"/>
  <c r="I14" i="57"/>
  <c r="J14" i="57" s="1"/>
  <c r="N13" i="57"/>
  <c r="M13" i="57"/>
  <c r="I13" i="57"/>
  <c r="J13" i="57" s="1"/>
  <c r="N11" i="57"/>
  <c r="M11" i="57"/>
  <c r="I11" i="57"/>
  <c r="J11" i="57" s="1"/>
  <c r="N9" i="57"/>
  <c r="M9" i="57"/>
  <c r="I9" i="57"/>
  <c r="J9" i="57" s="1"/>
  <c r="N8" i="57"/>
  <c r="M8" i="57"/>
  <c r="I8" i="57"/>
  <c r="J8" i="57" s="1"/>
  <c r="N7" i="57"/>
  <c r="M7" i="57"/>
  <c r="I7" i="57"/>
  <c r="J7" i="57" s="1"/>
  <c r="N6" i="57"/>
  <c r="M6" i="57"/>
  <c r="I6" i="57"/>
  <c r="J6" i="57" s="1"/>
  <c r="N5" i="57"/>
  <c r="M5" i="57"/>
  <c r="I5" i="57"/>
  <c r="D19" i="35" l="1"/>
  <c r="E19" i="35" s="1"/>
  <c r="M26" i="57"/>
  <c r="J5" i="57"/>
  <c r="K22" i="57" s="1"/>
  <c r="I26" i="57"/>
  <c r="I27" i="57" s="1"/>
  <c r="K15" i="57"/>
  <c r="L15" i="57" s="1"/>
  <c r="D18" i="57"/>
  <c r="E18" i="57" s="1"/>
  <c r="D7" i="57"/>
  <c r="E7" i="57" s="1"/>
  <c r="D16" i="57"/>
  <c r="E16" i="57" s="1"/>
  <c r="D22" i="57"/>
  <c r="E22" i="57" s="1"/>
  <c r="D9" i="57"/>
  <c r="E9" i="57" s="1"/>
  <c r="D24" i="57"/>
  <c r="E24" i="57" s="1"/>
  <c r="D5" i="57"/>
  <c r="D14" i="57"/>
  <c r="E14" i="57" s="1"/>
  <c r="D20" i="57"/>
  <c r="E20" i="57" s="1"/>
  <c r="D6" i="57"/>
  <c r="E6" i="57" s="1"/>
  <c r="D8" i="57"/>
  <c r="E8" i="57" s="1"/>
  <c r="D11" i="57"/>
  <c r="E11" i="57" s="1"/>
  <c r="D13" i="57"/>
  <c r="E13" i="57" s="1"/>
  <c r="D15" i="57"/>
  <c r="E15" i="57" s="1"/>
  <c r="D17" i="57"/>
  <c r="E17" i="57" s="1"/>
  <c r="D19" i="57"/>
  <c r="E19" i="57" s="1"/>
  <c r="D21" i="57"/>
  <c r="E21" i="57" s="1"/>
  <c r="D23" i="57"/>
  <c r="E23" i="57" s="1"/>
  <c r="D25" i="57"/>
  <c r="E25" i="57" s="1"/>
  <c r="K23" i="57" l="1"/>
  <c r="L23" i="57" s="1"/>
  <c r="E5" i="57"/>
  <c r="F22" i="57" s="1"/>
  <c r="D26" i="57"/>
  <c r="D27" i="57" s="1"/>
  <c r="K7" i="57"/>
  <c r="L7" i="57" s="1"/>
  <c r="K21" i="57"/>
  <c r="L21" i="57" s="1"/>
  <c r="K20" i="57"/>
  <c r="L20" i="57" s="1"/>
  <c r="K5" i="57"/>
  <c r="L5" i="57" s="1"/>
  <c r="K10" i="57"/>
  <c r="L10" i="57" s="1"/>
  <c r="K12" i="57"/>
  <c r="L12" i="57" s="1"/>
  <c r="K13" i="57"/>
  <c r="L13" i="57" s="1"/>
  <c r="K8" i="57"/>
  <c r="L8" i="57" s="1"/>
  <c r="K14" i="57"/>
  <c r="L14" i="57" s="1"/>
  <c r="K9" i="57"/>
  <c r="L9" i="57" s="1"/>
  <c r="K11" i="57"/>
  <c r="L11" i="57" s="1"/>
  <c r="K19" i="57"/>
  <c r="L19" i="57" s="1"/>
  <c r="K6" i="57"/>
  <c r="L6" i="57" s="1"/>
  <c r="K25" i="57"/>
  <c r="L25" i="57" s="1"/>
  <c r="K24" i="57"/>
  <c r="L24" i="57" s="1"/>
  <c r="K18" i="57"/>
  <c r="L18" i="57" s="1"/>
  <c r="K17" i="57"/>
  <c r="L17" i="57" s="1"/>
  <c r="K16" i="57"/>
  <c r="L16" i="57" s="1"/>
  <c r="L22" i="57"/>
  <c r="F7" i="57" l="1"/>
  <c r="G7" i="57" s="1"/>
  <c r="E26" i="47" s="1"/>
  <c r="E72" i="47" s="1"/>
  <c r="U11" i="51" s="1"/>
  <c r="F21" i="57"/>
  <c r="G21" i="57" s="1"/>
  <c r="E24" i="47" s="1"/>
  <c r="E59" i="47" s="1"/>
  <c r="J53" i="51" s="1"/>
  <c r="F25" i="57"/>
  <c r="G25" i="57" s="1"/>
  <c r="E6" i="47" s="1"/>
  <c r="E62" i="47" s="1"/>
  <c r="F5" i="57"/>
  <c r="G5" i="57" s="1"/>
  <c r="E4" i="47" s="1"/>
  <c r="E51" i="47" s="1"/>
  <c r="F10" i="57"/>
  <c r="G10" i="57" s="1"/>
  <c r="E18" i="47" s="1"/>
  <c r="F12" i="57"/>
  <c r="G12" i="57" s="1"/>
  <c r="E22" i="47" s="1"/>
  <c r="E71" i="47" s="1"/>
  <c r="U9" i="51" s="1"/>
  <c r="F15" i="57"/>
  <c r="G15" i="57" s="1"/>
  <c r="E25" i="47" s="1"/>
  <c r="E73" i="47" s="1"/>
  <c r="U10" i="51" s="1"/>
  <c r="F24" i="57"/>
  <c r="G24" i="57" s="1"/>
  <c r="E11" i="47" s="1"/>
  <c r="E53" i="47" s="1"/>
  <c r="F17" i="57"/>
  <c r="G17" i="57" s="1"/>
  <c r="E14" i="47" s="1"/>
  <c r="F9" i="57"/>
  <c r="G9" i="57" s="1"/>
  <c r="E20" i="47" s="1"/>
  <c r="E75" i="47" s="1"/>
  <c r="U8" i="51" s="1"/>
  <c r="F13" i="57"/>
  <c r="G13" i="57" s="1"/>
  <c r="E13" i="47" s="1"/>
  <c r="F8" i="57"/>
  <c r="G8" i="57" s="1"/>
  <c r="E19" i="47" s="1"/>
  <c r="E74" i="47" s="1"/>
  <c r="U7" i="51" s="1"/>
  <c r="F11" i="57"/>
  <c r="G11" i="57" s="1"/>
  <c r="E7" i="47" s="1"/>
  <c r="F14" i="57"/>
  <c r="G14" i="57" s="1"/>
  <c r="E10" i="47" s="1"/>
  <c r="E65" i="47" s="1"/>
  <c r="F18" i="57"/>
  <c r="G18" i="57" s="1"/>
  <c r="E5" i="47" s="1"/>
  <c r="E61" i="47" s="1"/>
  <c r="L26" i="57"/>
  <c r="F20" i="57"/>
  <c r="G20" i="57" s="1"/>
  <c r="E23" i="47" s="1"/>
  <c r="E58" i="47" s="1"/>
  <c r="J52" i="51" s="1"/>
  <c r="F16" i="57"/>
  <c r="G16" i="57" s="1"/>
  <c r="E17" i="47" s="1"/>
  <c r="E56" i="47" s="1"/>
  <c r="F19" i="57"/>
  <c r="G19" i="57" s="1"/>
  <c r="E8" i="47" s="1"/>
  <c r="E64" i="47" s="1"/>
  <c r="F6" i="57"/>
  <c r="G6" i="57" s="1"/>
  <c r="E16" i="47" s="1"/>
  <c r="E67" i="47" s="1"/>
  <c r="F23" i="57"/>
  <c r="G23" i="57" s="1"/>
  <c r="E15" i="47" s="1"/>
  <c r="E57" i="47" s="1"/>
  <c r="J50" i="51" s="1"/>
  <c r="G22" i="57"/>
  <c r="E9" i="47" s="1"/>
  <c r="E52" i="47" s="1"/>
  <c r="C16" i="41"/>
  <c r="S16" i="41" s="1"/>
  <c r="E63" i="47" l="1"/>
  <c r="E12" i="47"/>
  <c r="E27" i="47" s="1"/>
  <c r="J51" i="51"/>
  <c r="E55" i="47"/>
  <c r="U6" i="51"/>
  <c r="E68" i="47"/>
  <c r="E76" i="47" s="1"/>
  <c r="E54" i="47"/>
  <c r="G26" i="57"/>
  <c r="C22" i="41"/>
  <c r="S22" i="41" s="1"/>
  <c r="Q28" i="10"/>
  <c r="Q29" i="10"/>
  <c r="E60" i="47" l="1"/>
  <c r="E77" i="47"/>
  <c r="M18" i="35"/>
  <c r="N20" i="35"/>
  <c r="M25" i="35"/>
  <c r="M24" i="35"/>
  <c r="M23" i="35"/>
  <c r="N22" i="35"/>
  <c r="N21" i="35"/>
  <c r="N15" i="35"/>
  <c r="M14" i="35"/>
  <c r="N11" i="35"/>
  <c r="M9" i="35"/>
  <c r="N6" i="35"/>
  <c r="M4" i="35"/>
  <c r="F8" i="10"/>
  <c r="F9" i="10"/>
  <c r="G9" i="10" s="1"/>
  <c r="F10" i="10"/>
  <c r="G10" i="10" s="1"/>
  <c r="F12" i="10"/>
  <c r="G12" i="10" s="1"/>
  <c r="F13" i="10"/>
  <c r="G13" i="10" s="1"/>
  <c r="J27" i="35"/>
  <c r="O8" i="41"/>
  <c r="J6" i="41"/>
  <c r="L6" i="41" s="1"/>
  <c r="J8" i="41"/>
  <c r="J9" i="41"/>
  <c r="J10" i="41"/>
  <c r="J11" i="41"/>
  <c r="J12" i="41"/>
  <c r="J13" i="41"/>
  <c r="J14" i="41"/>
  <c r="J15" i="41"/>
  <c r="J16" i="41"/>
  <c r="J20" i="41"/>
  <c r="J21" i="41"/>
  <c r="O5" i="41"/>
  <c r="P5" i="41"/>
  <c r="O6" i="41"/>
  <c r="P6" i="41"/>
  <c r="O7" i="41"/>
  <c r="P7" i="41"/>
  <c r="O9" i="41"/>
  <c r="P9" i="41"/>
  <c r="O10" i="41"/>
  <c r="P10" i="41"/>
  <c r="O11" i="41"/>
  <c r="P11" i="41"/>
  <c r="O12" i="41"/>
  <c r="P12" i="41"/>
  <c r="O13" i="41"/>
  <c r="O14" i="41"/>
  <c r="P14" i="41"/>
  <c r="O15" i="41"/>
  <c r="P15" i="41"/>
  <c r="O16" i="41"/>
  <c r="P16" i="41"/>
  <c r="J17" i="41"/>
  <c r="L17" i="41" s="1"/>
  <c r="J18" i="41"/>
  <c r="L18" i="41" s="1"/>
  <c r="J19" i="41"/>
  <c r="L19" i="41" s="1"/>
  <c r="O17" i="41"/>
  <c r="P17" i="41"/>
  <c r="O18" i="41"/>
  <c r="P18" i="41"/>
  <c r="O19" i="41"/>
  <c r="P19" i="41"/>
  <c r="O20" i="41"/>
  <c r="P20" i="41"/>
  <c r="O21" i="41"/>
  <c r="P21" i="41"/>
  <c r="E27" i="35"/>
  <c r="N25" i="35"/>
  <c r="N16" i="35"/>
  <c r="N13" i="35"/>
  <c r="N10" i="35"/>
  <c r="N8" i="35"/>
  <c r="N7" i="35"/>
  <c r="F6" i="10"/>
  <c r="G6" i="10" s="1"/>
  <c r="F16" i="10"/>
  <c r="G16" i="10" s="1"/>
  <c r="M16" i="35"/>
  <c r="M21" i="35"/>
  <c r="M13" i="35"/>
  <c r="M11" i="35"/>
  <c r="M6" i="35"/>
  <c r="M7" i="35"/>
  <c r="M8" i="35"/>
  <c r="M10" i="35"/>
  <c r="M5" i="35"/>
  <c r="F7" i="10" l="1"/>
  <c r="G7" i="10" s="1"/>
  <c r="G8" i="10"/>
  <c r="M15" i="35"/>
  <c r="P8" i="41"/>
  <c r="D15" i="41"/>
  <c r="E15" i="41" s="1"/>
  <c r="N24" i="35"/>
  <c r="M19" i="41"/>
  <c r="N4" i="35"/>
  <c r="M22" i="35"/>
  <c r="M20" i="35"/>
  <c r="J22" i="41"/>
  <c r="J23" i="41" s="1"/>
  <c r="N5" i="35"/>
  <c r="N9" i="35"/>
  <c r="N14" i="35"/>
  <c r="N23" i="35"/>
  <c r="M17" i="41"/>
  <c r="M18" i="41"/>
  <c r="M12" i="35"/>
  <c r="O22" i="41"/>
  <c r="K21" i="41"/>
  <c r="K16" i="41"/>
  <c r="K14" i="41"/>
  <c r="K12" i="41"/>
  <c r="K10" i="41"/>
  <c r="K8" i="41"/>
  <c r="J7" i="41"/>
  <c r="L7" i="41" s="1"/>
  <c r="J5" i="41"/>
  <c r="L5" i="41" s="1"/>
  <c r="K20" i="41"/>
  <c r="K15" i="41"/>
  <c r="K13" i="41"/>
  <c r="K11" i="41"/>
  <c r="K9" i="41"/>
  <c r="F17" i="10" l="1"/>
  <c r="G17" i="10" s="1"/>
  <c r="M26" i="35"/>
  <c r="M27" i="35" s="1"/>
  <c r="D14" i="41"/>
  <c r="E14" i="41" s="1"/>
  <c r="D17" i="41"/>
  <c r="F17" i="41" s="1"/>
  <c r="D13" i="41"/>
  <c r="E13" i="41" s="1"/>
  <c r="D10" i="41"/>
  <c r="E10" i="41" s="1"/>
  <c r="D7" i="41"/>
  <c r="F7" i="41" s="1"/>
  <c r="D9" i="41"/>
  <c r="E9" i="41" s="1"/>
  <c r="D6" i="41"/>
  <c r="F6" i="41" s="1"/>
  <c r="D12" i="41"/>
  <c r="E12" i="41" s="1"/>
  <c r="D21" i="41"/>
  <c r="E21" i="41" s="1"/>
  <c r="D16" i="41"/>
  <c r="E16" i="41" s="1"/>
  <c r="D5" i="41"/>
  <c r="F5" i="41" s="1"/>
  <c r="D19" i="41"/>
  <c r="F19" i="41" s="1"/>
  <c r="D11" i="41"/>
  <c r="E11" i="41" s="1"/>
  <c r="D20" i="41"/>
  <c r="E20" i="41" s="1"/>
  <c r="D8" i="41"/>
  <c r="E8" i="41" s="1"/>
  <c r="D18" i="41"/>
  <c r="F18" i="41" s="1"/>
  <c r="P22" i="41"/>
  <c r="M15" i="41"/>
  <c r="N15" i="41" s="1"/>
  <c r="I22" i="35"/>
  <c r="J22" i="35" s="1"/>
  <c r="M5" i="41"/>
  <c r="M6" i="41"/>
  <c r="M9" i="41"/>
  <c r="N9" i="41" s="1"/>
  <c r="M20" i="41"/>
  <c r="N20" i="41" s="1"/>
  <c r="M7" i="41"/>
  <c r="M14" i="41"/>
  <c r="N14" i="41" s="1"/>
  <c r="I18" i="35"/>
  <c r="I9" i="35"/>
  <c r="I16" i="35"/>
  <c r="J16" i="35" s="1"/>
  <c r="I10" i="35"/>
  <c r="J10" i="35" s="1"/>
  <c r="M11" i="41"/>
  <c r="N11" i="41" s="1"/>
  <c r="M8" i="41"/>
  <c r="N8" i="41" s="1"/>
  <c r="M16" i="41"/>
  <c r="N16" i="41" s="1"/>
  <c r="J25" i="41" s="1"/>
  <c r="N19" i="41" s="1"/>
  <c r="N12" i="35"/>
  <c r="N26" i="35"/>
  <c r="M12" i="41"/>
  <c r="N12" i="41" s="1"/>
  <c r="M13" i="41"/>
  <c r="M10" i="41"/>
  <c r="N10" i="41" s="1"/>
  <c r="M21" i="41"/>
  <c r="N21" i="41" s="1"/>
  <c r="D17" i="35" l="1"/>
  <c r="E17" i="35" s="1"/>
  <c r="G18" i="41"/>
  <c r="G5" i="41"/>
  <c r="G6" i="41"/>
  <c r="G17" i="41"/>
  <c r="D22" i="41"/>
  <c r="D23" i="41" s="1"/>
  <c r="G13" i="41"/>
  <c r="G7" i="41"/>
  <c r="G19" i="41"/>
  <c r="G12" i="41"/>
  <c r="G14" i="41"/>
  <c r="G16" i="41"/>
  <c r="G11" i="41"/>
  <c r="G10" i="41"/>
  <c r="G21" i="41"/>
  <c r="G9" i="41"/>
  <c r="G20" i="41"/>
  <c r="N17" i="41"/>
  <c r="I4" i="35"/>
  <c r="I11" i="35"/>
  <c r="J11" i="35" s="1"/>
  <c r="I23" i="35"/>
  <c r="J23" i="35" s="1"/>
  <c r="I13" i="35"/>
  <c r="J13" i="35" s="1"/>
  <c r="I20" i="35"/>
  <c r="J20" i="35" s="1"/>
  <c r="I6" i="35"/>
  <c r="J6" i="35" s="1"/>
  <c r="I25" i="35"/>
  <c r="J25" i="35" s="1"/>
  <c r="I7" i="35"/>
  <c r="J7" i="35" s="1"/>
  <c r="J18" i="35"/>
  <c r="I8" i="35"/>
  <c r="J8" i="35" s="1"/>
  <c r="I24" i="35"/>
  <c r="J24" i="35" s="1"/>
  <c r="I5" i="35"/>
  <c r="J5" i="35" s="1"/>
  <c r="J9" i="35"/>
  <c r="I15" i="35"/>
  <c r="J15" i="35" s="1"/>
  <c r="I21" i="35"/>
  <c r="J21" i="35" s="1"/>
  <c r="I14" i="35"/>
  <c r="J14" i="35" s="1"/>
  <c r="D4" i="35"/>
  <c r="E4" i="35" s="1"/>
  <c r="D8" i="35"/>
  <c r="E8" i="35" s="1"/>
  <c r="D13" i="35"/>
  <c r="E13" i="35" s="1"/>
  <c r="D18" i="35"/>
  <c r="E18" i="35" s="1"/>
  <c r="D22" i="35"/>
  <c r="E22" i="35" s="1"/>
  <c r="N27" i="35"/>
  <c r="D6" i="35"/>
  <c r="E6" i="35" s="1"/>
  <c r="D10" i="35"/>
  <c r="E10" i="35" s="1"/>
  <c r="D15" i="35"/>
  <c r="E15" i="35" s="1"/>
  <c r="D20" i="35"/>
  <c r="E20" i="35" s="1"/>
  <c r="D24" i="35"/>
  <c r="E24" i="35" s="1"/>
  <c r="D25" i="35"/>
  <c r="E25" i="35" s="1"/>
  <c r="D21" i="35"/>
  <c r="E21" i="35" s="1"/>
  <c r="D7" i="35"/>
  <c r="E7" i="35" s="1"/>
  <c r="D16" i="35"/>
  <c r="E16" i="35" s="1"/>
  <c r="D11" i="35"/>
  <c r="E11" i="35" s="1"/>
  <c r="D9" i="35"/>
  <c r="E9" i="35" s="1"/>
  <c r="D5" i="35"/>
  <c r="E5" i="35" s="1"/>
  <c r="D14" i="35"/>
  <c r="E14" i="35" s="1"/>
  <c r="D23" i="35"/>
  <c r="E23" i="35" s="1"/>
  <c r="J24" i="41"/>
  <c r="N7" i="41" s="1"/>
  <c r="N22" i="41"/>
  <c r="G8" i="41"/>
  <c r="G15" i="41"/>
  <c r="N18" i="41"/>
  <c r="H15" i="41" l="1"/>
  <c r="H8" i="41"/>
  <c r="D24" i="41" s="1"/>
  <c r="H5" i="41" s="1"/>
  <c r="F19" i="35"/>
  <c r="F17" i="35"/>
  <c r="H7" i="41"/>
  <c r="N5" i="41"/>
  <c r="H10" i="41"/>
  <c r="H9" i="41"/>
  <c r="H14" i="41"/>
  <c r="H20" i="41"/>
  <c r="H21" i="41"/>
  <c r="N6" i="41"/>
  <c r="H11" i="41"/>
  <c r="H12" i="41"/>
  <c r="H16" i="41"/>
  <c r="F23" i="35"/>
  <c r="I27" i="35"/>
  <c r="I28" i="35" s="1"/>
  <c r="J4" i="35"/>
  <c r="F9" i="35"/>
  <c r="F25" i="35"/>
  <c r="F10" i="35"/>
  <c r="F14" i="35"/>
  <c r="F5" i="35"/>
  <c r="F16" i="35"/>
  <c r="F11" i="35"/>
  <c r="F7" i="35"/>
  <c r="F4" i="35"/>
  <c r="F20" i="35"/>
  <c r="D27" i="35"/>
  <c r="D28" i="35" s="1"/>
  <c r="F18" i="35"/>
  <c r="F15" i="35"/>
  <c r="F22" i="35"/>
  <c r="F8" i="35"/>
  <c r="F13" i="35"/>
  <c r="F21" i="35"/>
  <c r="F24" i="35"/>
  <c r="F6" i="35"/>
  <c r="G19" i="35" l="1"/>
  <c r="K19" i="35"/>
  <c r="K17" i="35"/>
  <c r="L17" i="35" s="1"/>
  <c r="G4" i="35"/>
  <c r="G9" i="35"/>
  <c r="L19" i="35"/>
  <c r="K4" i="35"/>
  <c r="L4" i="35" s="1"/>
  <c r="G17" i="35"/>
  <c r="D25" i="41"/>
  <c r="H19" i="41" s="1"/>
  <c r="G22" i="35"/>
  <c r="H22" i="41"/>
  <c r="G6" i="35"/>
  <c r="G13" i="35"/>
  <c r="G18" i="35"/>
  <c r="G7" i="35"/>
  <c r="G10" i="35"/>
  <c r="G23" i="35"/>
  <c r="G24" i="35"/>
  <c r="G20" i="35"/>
  <c r="G8" i="35"/>
  <c r="G21" i="35"/>
  <c r="G15" i="35"/>
  <c r="K5" i="35"/>
  <c r="L5" i="35" s="1"/>
  <c r="K15" i="35"/>
  <c r="L15" i="35" s="1"/>
  <c r="K16" i="35"/>
  <c r="L16" i="35" s="1"/>
  <c r="K8" i="35"/>
  <c r="L8" i="35" s="1"/>
  <c r="K23" i="35"/>
  <c r="L23" i="35" s="1"/>
  <c r="K25" i="35"/>
  <c r="L25" i="35" s="1"/>
  <c r="K20" i="35"/>
  <c r="L20" i="35" s="1"/>
  <c r="K9" i="35"/>
  <c r="L9" i="35" s="1"/>
  <c r="K22" i="35"/>
  <c r="L22" i="35" s="1"/>
  <c r="K13" i="35"/>
  <c r="L13" i="35" s="1"/>
  <c r="K24" i="35"/>
  <c r="L24" i="35" s="1"/>
  <c r="K14" i="35"/>
  <c r="L14" i="35" s="1"/>
  <c r="K18" i="35"/>
  <c r="L18" i="35" s="1"/>
  <c r="K10" i="35"/>
  <c r="L10" i="35" s="1"/>
  <c r="K7" i="35"/>
  <c r="L7" i="35" s="1"/>
  <c r="K11" i="35"/>
  <c r="L11" i="35" s="1"/>
  <c r="K6" i="35"/>
  <c r="L6" i="35" s="1"/>
  <c r="K21" i="35"/>
  <c r="L21" i="35" s="1"/>
  <c r="G16" i="35"/>
  <c r="G25" i="35"/>
  <c r="G5" i="35"/>
  <c r="G11" i="35"/>
  <c r="G14" i="35"/>
  <c r="G12" i="35" l="1"/>
  <c r="H18" i="41"/>
  <c r="H17" i="41"/>
  <c r="G26" i="35"/>
  <c r="H6" i="41"/>
  <c r="L26" i="35"/>
  <c r="L12" i="35"/>
  <c r="L27" i="35" l="1"/>
  <c r="G27" i="35"/>
  <c r="Z9" i="48" l="1"/>
  <c r="Z6" i="48"/>
  <c r="Z12" i="48"/>
</calcChain>
</file>

<file path=xl/comments1.xml><?xml version="1.0" encoding="utf-8"?>
<comments xmlns="http://schemas.openxmlformats.org/spreadsheetml/2006/main">
  <authors>
    <author>越谷市役所</author>
  </authors>
  <commentList>
    <comment ref="B8" authorId="0" shapeId="0">
      <text>
        <r>
          <rPr>
            <sz val="9"/>
            <color indexed="12"/>
            <rFont val="ＭＳ Ｐゴシック"/>
            <family val="3"/>
            <charset val="128"/>
          </rPr>
          <t xml:space="preserve">
</t>
        </r>
        <r>
          <rPr>
            <sz val="9"/>
            <color indexed="10"/>
            <rFont val="ＭＳ Ｐゴシック"/>
            <family val="3"/>
            <charset val="128"/>
          </rPr>
          <t>保険給付費20,638,850（対前年度▲334,460）、国民健康保険事業費納付金8,456,000（対前年度▲213,900）</t>
        </r>
      </text>
    </comment>
    <comment ref="B9" authorId="0" shapeId="0">
      <text>
        <r>
          <rPr>
            <sz val="9"/>
            <color indexed="10"/>
            <rFont val="ＭＳ Ｐゴシック"/>
            <family val="3"/>
            <charset val="128"/>
          </rPr>
          <t xml:space="preserve">
保険料等納付金4,558,000（対前年度＋491,000）、保険基盤安定納付金891,000（対前年度＋94,000）</t>
        </r>
      </text>
    </comment>
    <comment ref="B10" authorId="0" shapeId="0">
      <text>
        <r>
          <rPr>
            <sz val="9"/>
            <color indexed="10"/>
            <rFont val="ＭＳ Ｐゴシック"/>
            <family val="3"/>
            <charset val="128"/>
          </rPr>
          <t xml:space="preserve">
居宅介護サービス給付費9,200,000（対前年度＋600,000）、地域密着型介護サービス給付費3,000,000（対前年度＋200,000）
施設介護サービス給付費6,200,000（対前年度＋600,000）</t>
        </r>
      </text>
    </comment>
    <comment ref="B11" authorId="0" shapeId="0">
      <text>
        <r>
          <rPr>
            <sz val="9"/>
            <color indexed="12"/>
            <rFont val="ＭＳ Ｐゴシック"/>
            <family val="3"/>
            <charset val="128"/>
          </rPr>
          <t xml:space="preserve">
</t>
        </r>
        <r>
          <rPr>
            <sz val="9"/>
            <color indexed="10"/>
            <rFont val="ＭＳ Ｐゴシック"/>
            <family val="3"/>
            <charset val="128"/>
          </rPr>
          <t xml:space="preserve">
母子父子寡婦福祉資金貸付金41,700（対前年度＋16,700）、長期債元金3,100（対前年度＋300）</t>
        </r>
      </text>
    </comment>
    <comment ref="B12" authorId="0" shapeId="0">
      <text>
        <r>
          <rPr>
            <sz val="9"/>
            <color indexed="12"/>
            <rFont val="ＭＳ Ｐゴシック"/>
            <family val="3"/>
            <charset val="128"/>
          </rPr>
          <t xml:space="preserve">
</t>
        </r>
        <r>
          <rPr>
            <sz val="9"/>
            <color indexed="10"/>
            <rFont val="ＭＳ Ｐゴシック"/>
            <family val="3"/>
            <charset val="128"/>
          </rPr>
          <t>長期債元金・利子15,240（対前年度＋10）</t>
        </r>
      </text>
    </comment>
    <comment ref="B13" authorId="0" shapeId="0">
      <text>
        <r>
          <rPr>
            <sz val="9"/>
            <color indexed="12"/>
            <rFont val="ＭＳ Ｐゴシック"/>
            <family val="3"/>
            <charset val="128"/>
          </rPr>
          <t xml:space="preserve">
</t>
        </r>
        <r>
          <rPr>
            <sz val="9"/>
            <color indexed="10"/>
            <rFont val="ＭＳ Ｐゴシック"/>
            <family val="3"/>
            <charset val="128"/>
          </rPr>
          <t xml:space="preserve">
家屋・立木等移転補償料885,000（対前年度＋290,000）、長期債元金571,330（対前年度▲17,400）、長期債利子30,680（対前年度＋5,250）</t>
        </r>
      </text>
    </comment>
    <comment ref="B14" authorId="0" shapeId="0">
      <text>
        <r>
          <rPr>
            <sz val="9"/>
            <color indexed="12"/>
            <rFont val="ＭＳ Ｐゴシック"/>
            <family val="3"/>
            <charset val="128"/>
          </rPr>
          <t xml:space="preserve">
</t>
        </r>
        <r>
          <rPr>
            <sz val="9"/>
            <color indexed="10"/>
            <rFont val="ＭＳ Ｐゴシック"/>
            <family val="3"/>
            <charset val="128"/>
          </rPr>
          <t>平方公園に係る償還元金及び利子</t>
        </r>
      </text>
    </comment>
  </commentList>
</comments>
</file>

<file path=xl/comments2.xml><?xml version="1.0" encoding="utf-8"?>
<comments xmlns="http://schemas.openxmlformats.org/spreadsheetml/2006/main">
  <authors>
    <author>越谷市役所</author>
    <author>WSN395</author>
    <author>Administrator</author>
  </authors>
  <commentList>
    <comment ref="C5" authorId="0" shapeId="0">
      <text>
        <r>
          <rPr>
            <sz val="9"/>
            <color indexed="12"/>
            <rFont val="ＭＳ Ｐゴシック"/>
            <family val="3"/>
            <charset val="128"/>
          </rPr>
          <t xml:space="preserve">
</t>
        </r>
        <r>
          <rPr>
            <sz val="9"/>
            <color indexed="10"/>
            <rFont val="ＭＳ Ｐゴシック"/>
            <family val="3"/>
            <charset val="128"/>
          </rPr>
          <t>・市民税▲1,104,000千円(※個人▲1,004,000千円、法人▲100,000千円) ・固定資産税▲65,000千円 ・都市計画税▲9,000千円</t>
        </r>
      </text>
    </comment>
    <comment ref="C8" authorId="0" shapeId="0">
      <text>
        <r>
          <rPr>
            <sz val="9"/>
            <color indexed="12"/>
            <rFont val="ＭＳ Ｐゴシック"/>
            <family val="3"/>
            <charset val="128"/>
          </rPr>
          <t xml:space="preserve">
</t>
        </r>
        <r>
          <rPr>
            <sz val="9"/>
            <color indexed="10"/>
            <rFont val="ＭＳ Ｐゴシック"/>
            <family val="3"/>
            <charset val="128"/>
          </rPr>
          <t xml:space="preserve">
・決算額の推移により同額　R4決：300,241千円　R3決：327,151千円　R2決：211,328千円　R1決：245,341千円　30決：200,289千円　</t>
        </r>
      </text>
    </comment>
    <comment ref="N8" authorId="1" shapeId="0">
      <text>
        <r>
          <rPr>
            <b/>
            <sz val="9"/>
            <color indexed="81"/>
            <rFont val="ＭＳ Ｐゴシック"/>
            <family val="3"/>
            <charset val="128"/>
          </rPr>
          <t>WSN395:</t>
        </r>
        <r>
          <rPr>
            <sz val="9"/>
            <color indexed="81"/>
            <rFont val="ＭＳ Ｐゴシック"/>
            <family val="3"/>
            <charset val="128"/>
          </rPr>
          <t xml:space="preserve">
この行の数式は変更してあります。</t>
        </r>
      </text>
    </comment>
    <comment ref="C9" authorId="0" shapeId="0">
      <text>
        <r>
          <rPr>
            <sz val="9"/>
            <color indexed="12"/>
            <rFont val="ＭＳ Ｐゴシック"/>
            <family val="3"/>
            <charset val="128"/>
          </rPr>
          <t xml:space="preserve">
</t>
        </r>
        <r>
          <rPr>
            <sz val="9"/>
            <color indexed="10"/>
            <rFont val="ＭＳ Ｐゴシック"/>
            <family val="3"/>
            <charset val="128"/>
          </rPr>
          <t>・決算額の推移により同額　R4決：234,511千円　R3決：389,043千円　R2決：253,475千円　R1決：148,412千円　30決：184,542千円　</t>
        </r>
      </text>
    </comment>
    <comment ref="N9" authorId="1" shapeId="0">
      <text>
        <r>
          <rPr>
            <b/>
            <sz val="9"/>
            <color indexed="81"/>
            <rFont val="ＭＳ Ｐゴシック"/>
            <family val="3"/>
            <charset val="128"/>
          </rPr>
          <t>WSN395:</t>
        </r>
        <r>
          <rPr>
            <sz val="9"/>
            <color indexed="81"/>
            <rFont val="ＭＳ Ｐゴシック"/>
            <family val="3"/>
            <charset val="128"/>
          </rPr>
          <t xml:space="preserve">
この行の数式は変更してあります。</t>
        </r>
      </text>
    </comment>
    <comment ref="C10" authorId="0" shapeId="0">
      <text>
        <r>
          <rPr>
            <sz val="9"/>
            <color indexed="39"/>
            <rFont val="ＭＳ Ｐゴシック"/>
            <family val="3"/>
            <charset val="128"/>
          </rPr>
          <t xml:space="preserve">
</t>
        </r>
      </text>
    </comment>
    <comment ref="C11" authorId="0" shapeId="0">
      <text>
        <r>
          <rPr>
            <sz val="9"/>
            <color indexed="12"/>
            <rFont val="ＭＳ Ｐゴシック"/>
            <family val="3"/>
            <charset val="128"/>
          </rPr>
          <t xml:space="preserve">
</t>
        </r>
        <r>
          <rPr>
            <sz val="9"/>
            <color indexed="10"/>
            <rFont val="ＭＳ Ｐゴシック"/>
            <family val="3"/>
            <charset val="128"/>
          </rPr>
          <t>・一般分：3,500,000千円（R5：3,600,000千円）、社会保障分：4,200,000千円（R5：4,200,000千円）</t>
        </r>
      </text>
    </comment>
    <comment ref="C12" authorId="0" shapeId="0">
      <text>
        <r>
          <rPr>
            <sz val="9"/>
            <color indexed="12"/>
            <rFont val="ＭＳ Ｐゴシック"/>
            <family val="3"/>
            <charset val="128"/>
          </rPr>
          <t xml:space="preserve">
</t>
        </r>
        <r>
          <rPr>
            <sz val="9"/>
            <color indexed="10"/>
            <rFont val="ＭＳ Ｐゴシック"/>
            <family val="3"/>
            <charset val="128"/>
          </rPr>
          <t xml:space="preserve">
・自動車取得時において、取得価額を課税標準とし、環境性能に応じて１～３％までの税率により課税</t>
        </r>
      </text>
    </comment>
    <comment ref="C13" authorId="0" shapeId="0">
      <text>
        <r>
          <rPr>
            <sz val="9"/>
            <color indexed="12"/>
            <rFont val="ＭＳ Ｐゴシック"/>
            <family val="3"/>
            <charset val="128"/>
          </rPr>
          <t xml:space="preserve">
</t>
        </r>
        <r>
          <rPr>
            <sz val="9"/>
            <color indexed="10"/>
            <rFont val="ＭＳ Ｐゴシック"/>
            <family val="3"/>
            <charset val="128"/>
          </rPr>
          <t>・地方特例交付金　減収補てん分（住宅減税分440,000千円、定額減税分1,550,000千円）</t>
        </r>
      </text>
    </comment>
    <comment ref="C14" authorId="0" shapeId="0">
      <text>
        <r>
          <rPr>
            <sz val="9"/>
            <color indexed="10"/>
            <rFont val="ＭＳ Ｐゴシック"/>
            <family val="3"/>
            <charset val="128"/>
          </rPr>
          <t xml:space="preserve">
・普通交付税＋1,700,000千円 ・特別交付税　同額（災害の多発、多様化により災害関連経費が多額に生じていること等から、6％維持）</t>
        </r>
      </text>
    </comment>
    <comment ref="C16" authorId="0" shapeId="0">
      <text>
        <r>
          <rPr>
            <sz val="9"/>
            <color indexed="10"/>
            <rFont val="ＭＳ Ｐゴシック"/>
            <family val="3"/>
            <charset val="128"/>
          </rPr>
          <t xml:space="preserve">
・斎場整備等事業負担金▲23,000・病院群輪番制病院運営事業負担金＋23,500千円（皆増）
・消防指令業務共同運用事業負担金＋26,400千円</t>
        </r>
      </text>
    </comment>
    <comment ref="C17" authorId="0" shapeId="0">
      <text>
        <r>
          <rPr>
            <sz val="9"/>
            <color indexed="12"/>
            <rFont val="ＭＳ Ｐゴシック"/>
            <family val="3"/>
            <charset val="128"/>
          </rPr>
          <t xml:space="preserve">
</t>
        </r>
        <r>
          <rPr>
            <sz val="9"/>
            <color indexed="10"/>
            <rFont val="ＭＳ Ｐゴシック"/>
            <family val="3"/>
            <charset val="128"/>
          </rPr>
          <t xml:space="preserve">
 ・学童保育室使用料＋16,000千円 ・道水路等占用料＋20,000千円 ・体育館使用料＋13,000千円</t>
        </r>
      </text>
    </comment>
    <comment ref="C18" authorId="0" shapeId="0">
      <text>
        <r>
          <rPr>
            <sz val="9"/>
            <color indexed="12"/>
            <rFont val="ＭＳ Ｐゴシック"/>
            <family val="3"/>
            <charset val="128"/>
          </rPr>
          <t xml:space="preserve">
</t>
        </r>
        <r>
          <rPr>
            <sz val="9"/>
            <color indexed="10"/>
            <rFont val="ＭＳ Ｐゴシック"/>
            <family val="3"/>
            <charset val="128"/>
          </rPr>
          <t>・施設型給付費負担金＋200,000千円・児童手当負担金＋290,000千円・ｺﾛﾅﾜｸﾁﾝ接種対策費負担金▲623,000千円
・ﾃﾞｼﾞﾀﾙ基盤改革支援補助金＋397,900千円 ・物価高騰臨交金＋383,400千円 ・ｺﾛﾅﾜｸﾁﾝ接種体制確保事業費補助金▲938,000千円</t>
        </r>
      </text>
    </comment>
    <comment ref="C19" authorId="0" shapeId="0">
      <text>
        <r>
          <rPr>
            <sz val="9"/>
            <color indexed="12"/>
            <rFont val="ＭＳ Ｐゴシック"/>
            <family val="3"/>
            <charset val="128"/>
          </rPr>
          <t xml:space="preserve">
</t>
        </r>
        <r>
          <rPr>
            <sz val="9"/>
            <color indexed="10"/>
            <rFont val="ＭＳ Ｐゴシック"/>
            <family val="3"/>
            <charset val="128"/>
          </rPr>
          <t xml:space="preserve">
・後期 保険基盤安定拠出金負担金＋71,000千円・施設型給付費負担金＋81,000千円・乳幼児医療給付費補助金＋100,000千円
・地域密着型サービス等整備助成事業費等補助金▲94,800千円・県知事選挙費委託金▲94,400千円（皆減）</t>
        </r>
      </text>
    </comment>
    <comment ref="C20" authorId="0" shapeId="0">
      <text>
        <r>
          <rPr>
            <sz val="9"/>
            <color indexed="10"/>
            <rFont val="ＭＳ Ｐゴシック"/>
            <family val="3"/>
            <charset val="128"/>
          </rPr>
          <t xml:space="preserve">
・土地貸付収入＋4,120千円・建物貸付収入＋4,000千円・財調基金利子収入＋2,300千円・公共施設等整備基金利子収入＋3,300千円</t>
        </r>
      </text>
    </comment>
    <comment ref="C21" authorId="2" shapeId="0">
      <text>
        <r>
          <rPr>
            <sz val="9"/>
            <color indexed="81"/>
            <rFont val="ＭＳ Ｐゴシック"/>
            <family val="3"/>
            <charset val="128"/>
          </rPr>
          <t xml:space="preserve">
</t>
        </r>
        <r>
          <rPr>
            <sz val="9"/>
            <color indexed="10"/>
            <rFont val="ＭＳ Ｐゴシック"/>
            <family val="3"/>
            <charset val="128"/>
          </rPr>
          <t>・一般＋29,990千円・しらこばと基金＋19,000千円・公園費寄附金（ｸﾗｳﾄﾞﾌｧﾝﾃﾞｨﾝｸﾞ）＋1,000円
・図書館費寄附金＋1,000（ｸﾗｳﾄﾞﾌｧﾝﾃﾞｨﾝｸﾞ）</t>
        </r>
      </text>
    </comment>
    <comment ref="C22" authorId="0" shapeId="0">
      <text>
        <r>
          <rPr>
            <sz val="9"/>
            <color indexed="12"/>
            <rFont val="ＭＳ Ｐゴシック"/>
            <family val="3"/>
            <charset val="128"/>
          </rPr>
          <t xml:space="preserve">
</t>
        </r>
        <r>
          <rPr>
            <sz val="9"/>
            <color indexed="10"/>
            <rFont val="ＭＳ Ｐゴシック"/>
            <family val="3"/>
            <charset val="128"/>
          </rPr>
          <t>・財政調整基金繰入金　5,500,000千円〔R5末基金残高見込10,558,633千円、R6当初基金残高見込5,070,933千円〕 ・しらこばと基金
  繰入金31,160千円 ・公共施設等整備基金繰入金1,448,000千円〔R5末基金残高見込3,198,000千円、R6当初基金残高見込1,750,000千円〕</t>
        </r>
      </text>
    </comment>
    <comment ref="C24" authorId="0" shapeId="0">
      <text>
        <r>
          <rPr>
            <sz val="9"/>
            <color indexed="12"/>
            <rFont val="ＭＳ Ｐゴシック"/>
            <family val="3"/>
            <charset val="128"/>
          </rPr>
          <t xml:space="preserve">
</t>
        </r>
        <r>
          <rPr>
            <sz val="9"/>
            <color indexed="10"/>
            <rFont val="ＭＳ Ｐゴシック"/>
            <family val="3"/>
            <charset val="128"/>
          </rPr>
          <t>・後期高齢者保健事業受託収入＋16,000千円（皆増）・スポーツ振興くじ助成金▲60,800千円・公共施設移設等補償料▲117,000千円</t>
        </r>
      </text>
    </comment>
    <comment ref="C25" authorId="0" shapeId="0">
      <text>
        <r>
          <rPr>
            <sz val="9"/>
            <color indexed="12"/>
            <rFont val="ＭＳ Ｐゴシック"/>
            <family val="3"/>
            <charset val="128"/>
          </rPr>
          <t xml:space="preserve">
</t>
        </r>
        <r>
          <rPr>
            <sz val="9"/>
            <color indexed="10"/>
            <rFont val="ＭＳ Ｐゴシック"/>
            <family val="3"/>
            <charset val="128"/>
          </rPr>
          <t xml:space="preserve">
・通常債7,910,400千円（対前年度＋32.6％　＋1,946,600千円）・特例債1,300,000千円（対前年度▲40.9％　▲900,000千円）</t>
        </r>
      </text>
    </comment>
  </commentList>
</comments>
</file>

<file path=xl/comments3.xml><?xml version="1.0" encoding="utf-8"?>
<comments xmlns="http://schemas.openxmlformats.org/spreadsheetml/2006/main">
  <authors>
    <author>越谷市役所</author>
  </authors>
  <commentList>
    <comment ref="C5" authorId="0" shapeId="0">
      <text>
        <r>
          <rPr>
            <sz val="9"/>
            <color indexed="10"/>
            <rFont val="ＭＳ Ｐゴシック"/>
            <family val="3"/>
            <charset val="128"/>
          </rPr>
          <t xml:space="preserve">
議員期末手当＋2,490千円・議員共済給付費負担金▲4,900千円・印刷製本費（広報活動費）▲1,200千円</t>
        </r>
      </text>
    </comment>
    <comment ref="C6" authorId="0" shapeId="0">
      <text>
        <r>
          <rPr>
            <sz val="9"/>
            <color indexed="10"/>
            <rFont val="ＭＳ Ｐゴシック"/>
            <family val="3"/>
            <charset val="128"/>
          </rPr>
          <t xml:space="preserve">
・システム標準化業務委託料＋397,900千円 ・大袋地区センター・公民館建設工事費＋720,000千円（皆増）
・県議会議員選挙費▲66,300千円（皆減）・市議会議員選挙費▲175,880千円（皆減）・県知事選挙費▲94,400千円（皆減）</t>
        </r>
      </text>
    </comment>
    <comment ref="C7" authorId="0" shapeId="0">
      <text>
        <r>
          <rPr>
            <sz val="9"/>
            <color indexed="10"/>
            <rFont val="ＭＳ Ｐゴシック"/>
            <family val="3"/>
            <charset val="128"/>
          </rPr>
          <t xml:space="preserve">
・介護会計繰出金＋212,000千円・療養給付費負担金（後期広域連合）＋214,000千円・児童手当給付費＋400,000千円
・（仮称）緑の森公園保育所建設工事＋318,000千円・学童保育室建設工事＋239,000千円・医療扶助費＋200,000千円</t>
        </r>
      </text>
    </comment>
    <comment ref="C8" authorId="0" shapeId="0">
      <text>
        <r>
          <rPr>
            <sz val="9"/>
            <color indexed="10"/>
            <rFont val="ＭＳ Ｐゴシック"/>
            <family val="3"/>
            <charset val="128"/>
          </rPr>
          <t xml:space="preserve">
・出産・子育て応援給付金＋300,000千円・新型コロナワクチン接種委託料▲740,000千円・新型コロナワクチン接種支援業務委託料
 ▲790,000千円 ・東埼玉資源環境組合負担金＋591,050千円・病院事業会計負担金＋490,000千円</t>
        </r>
      </text>
    </comment>
    <comment ref="C9" authorId="0" shapeId="0">
      <text>
        <r>
          <rPr>
            <sz val="9"/>
            <color indexed="12"/>
            <rFont val="ＭＳ Ｐゴシック"/>
            <family val="3"/>
            <charset val="128"/>
          </rPr>
          <t xml:space="preserve">
</t>
        </r>
        <r>
          <rPr>
            <sz val="9"/>
            <color indexed="10"/>
            <rFont val="ＭＳ Ｐゴシック"/>
            <family val="3"/>
            <charset val="128"/>
          </rPr>
          <t>・修繕料（産業雇用支援施設管理費）＋5,200千円</t>
        </r>
      </text>
    </comment>
    <comment ref="C10" authorId="0" shapeId="0">
      <text>
        <r>
          <rPr>
            <sz val="9"/>
            <color indexed="10"/>
            <rFont val="ＭＳ Ｐゴシック"/>
            <family val="3"/>
            <charset val="128"/>
          </rPr>
          <t xml:space="preserve">
</t>
        </r>
        <r>
          <rPr>
            <sz val="9"/>
            <color indexed="12"/>
            <rFont val="ＭＳ Ｐゴシック"/>
            <family val="3"/>
            <charset val="128"/>
          </rPr>
          <t xml:space="preserve">
</t>
        </r>
        <r>
          <rPr>
            <sz val="9"/>
            <color indexed="10"/>
            <rFont val="ＭＳ Ｐゴシック"/>
            <family val="3"/>
            <charset val="128"/>
          </rPr>
          <t xml:space="preserve">・卸売市場用地購入費▲202,000千円（皆減）・測量委託料（農地利用集積事業）＋19,000千円（皆増）・増林地区農地耕作条件改善事業費負担金＋18,300千円（皆増）・かんがい排水整備工事費＋34,600千円 ・古利根堰耐震対策事業費負担金▲19,000千円
</t>
        </r>
      </text>
    </comment>
    <comment ref="C11" authorId="0" shapeId="0">
      <text>
        <r>
          <rPr>
            <sz val="9"/>
            <color indexed="12"/>
            <rFont val="ＭＳ Ｐゴシック"/>
            <family val="3"/>
            <charset val="128"/>
          </rPr>
          <t xml:space="preserve">
</t>
        </r>
        <r>
          <rPr>
            <sz val="9"/>
            <color indexed="10"/>
            <rFont val="ＭＳ Ｐゴシック"/>
            <family val="3"/>
            <charset val="128"/>
          </rPr>
          <t>・水辺の創業まちづくり事業委託料＋5,000千円（皆増） ・ふるさと納税推進事務委託料＋11,000千円(皆増)・ふるさと納税返礼品開発等支援補助金＋10,000千円（皆増） ・観光振興計画策定支援業務委託料▲6,000千円(皆減)</t>
        </r>
      </text>
    </comment>
    <comment ref="C12" authorId="0" shapeId="0">
      <text>
        <r>
          <rPr>
            <sz val="9"/>
            <color indexed="48"/>
            <rFont val="ＭＳ Ｐゴシック"/>
            <family val="3"/>
            <charset val="128"/>
          </rPr>
          <t xml:space="preserve">
</t>
        </r>
        <r>
          <rPr>
            <sz val="9"/>
            <color indexed="12"/>
            <rFont val="ＭＳ Ｐゴシック"/>
            <family val="3"/>
            <charset val="128"/>
          </rPr>
          <t xml:space="preserve">
</t>
        </r>
        <r>
          <rPr>
            <sz val="9"/>
            <color indexed="10"/>
            <rFont val="ＭＳ Ｐゴシック"/>
            <family val="3"/>
            <charset val="128"/>
          </rPr>
          <t>・道路改良工事費（道路改良事業）▲99,000千円・応急対策工事費（応急対策事業）＋310,000千円
・街路築造工事費（越谷吉川線整備事業）＋212,000千円・公園整備工事費（住区基幹公園等整備事業）▲190,000千円</t>
        </r>
      </text>
    </comment>
    <comment ref="C13" authorId="0" shapeId="0">
      <text>
        <r>
          <rPr>
            <sz val="9"/>
            <color indexed="12"/>
            <rFont val="ＭＳ Ｐゴシック"/>
            <family val="3"/>
            <charset val="128"/>
          </rPr>
          <t xml:space="preserve">
</t>
        </r>
        <r>
          <rPr>
            <sz val="9"/>
            <color indexed="10"/>
            <rFont val="ＭＳ Ｐゴシック"/>
            <family val="3"/>
            <charset val="128"/>
          </rPr>
          <t>・消防指令ｼｽﾃﾑ整備工事費＋44,300千円（皆増）・（仮称）桜井分署用地取得費▲100,200千円（皆減）
・耐震性貯水槽新設工事費＋81,000千円（皆増）・共同消防指令ｾﾝﾀｰ建設工事費▲132,000千円・消防ﾎﾟﾝﾌﾟ自動車購入費＋51,000千円</t>
        </r>
      </text>
    </comment>
    <comment ref="C14" authorId="0" shapeId="0">
      <text>
        <r>
          <rPr>
            <sz val="9"/>
            <color indexed="10"/>
            <rFont val="ＭＳ Ｐゴシック"/>
            <family val="3"/>
            <charset val="128"/>
          </rPr>
          <t xml:space="preserve">
・消耗品費（教師用指導書等整備費）＋183,200千円・設備等改修工事費（小学校屋内運動場空調設備設置事業）＋162,000千円
・設備等改修工事費（中学校屋内運動場等空調設備設置事業）＋1,432,000千円（皆増）・校内系ﾈｯﾄﾜｰｸ保守管理等委託料▲273,000千円</t>
        </r>
      </text>
    </comment>
    <comment ref="C16" authorId="0" shapeId="0">
      <text>
        <r>
          <rPr>
            <sz val="9"/>
            <color indexed="12"/>
            <rFont val="ＭＳ Ｐゴシック"/>
            <family val="3"/>
            <charset val="128"/>
          </rPr>
          <t xml:space="preserve">
</t>
        </r>
        <r>
          <rPr>
            <sz val="9"/>
            <color indexed="10"/>
            <rFont val="ＭＳ Ｐゴシック"/>
            <family val="3"/>
            <charset val="128"/>
          </rPr>
          <t>・元金▲121,450千円（7,408,652千円）・利子＋65,149千円（長期債利子306,479千円、一時借入金利子12,100千円）</t>
        </r>
      </text>
    </comment>
    <comment ref="C17" authorId="0" shapeId="0">
      <text>
        <r>
          <rPr>
            <sz val="9"/>
            <color indexed="10"/>
            <rFont val="ＭＳ Ｐゴシック"/>
            <family val="3"/>
            <charset val="128"/>
          </rPr>
          <t xml:space="preserve">
・土地開発公社補助金＋3,500千円・土地開発公社利子補給金＋4,500千円・県収入証紙購入費▲4,000千円（皆減）</t>
        </r>
      </text>
    </comment>
    <comment ref="C21" authorId="0" shapeId="0">
      <text>
        <r>
          <rPr>
            <sz val="9"/>
            <color indexed="10"/>
            <rFont val="ＭＳ Ｐゴシック"/>
            <family val="3"/>
            <charset val="128"/>
          </rPr>
          <t>※元金減少の主な理由　　　　　　　　　　　　　　　　　　※利子増加の主な理由
【総務債】 ▲24,272千円　　　　　　　　　　　　　　　　　　【総務債】 ＋19,603千円
【平成１５年度臨時財政対策債】 ▲270,320千円　　　【土木債】 ＋15,069千円
【平成１６年度臨時財政対策債】 ▲115,402千円　　　【教育債】 ＋15,908千円</t>
        </r>
      </text>
    </comment>
  </commentList>
</comments>
</file>

<file path=xl/comments4.xml><?xml version="1.0" encoding="utf-8"?>
<comments xmlns="http://schemas.openxmlformats.org/spreadsheetml/2006/main">
  <authors>
    <author>越谷市役所</author>
  </authors>
  <commentList>
    <comment ref="C5" authorId="0" shapeId="0">
      <text>
        <r>
          <rPr>
            <sz val="9"/>
            <color indexed="10"/>
            <rFont val="ＭＳ Ｐゴシック"/>
            <family val="3"/>
            <charset val="128"/>
          </rPr>
          <t xml:space="preserve">
・給料＋177,400千円 ・職員手当＋403,160千円（超過勤務手当▲107,630千円、期末手当＋113,800千円、勤勉手当＋396,490千円）</t>
        </r>
      </text>
    </comment>
    <comment ref="C6" authorId="0" shapeId="0">
      <text>
        <r>
          <rPr>
            <sz val="9"/>
            <color indexed="12"/>
            <rFont val="ＭＳ Ｐゴシック"/>
            <family val="3"/>
            <charset val="128"/>
          </rPr>
          <t xml:space="preserve">
</t>
        </r>
        <r>
          <rPr>
            <sz val="9"/>
            <color indexed="10"/>
            <rFont val="ＭＳ Ｐゴシック"/>
            <family val="3"/>
            <charset val="128"/>
          </rPr>
          <t xml:space="preserve">
・障がい者グループホーム等給付費＋120,000千円・こども医療給付費＋200,000千円・施設型給付費＋200,000千円
・地域型給付費＋100,000千円・施設等利用費▲100,000千円・児童手当給付費＋400,000千円</t>
        </r>
        <r>
          <rPr>
            <sz val="9"/>
            <color indexed="12"/>
            <rFont val="ＭＳ Ｐゴシック"/>
            <family val="3"/>
            <charset val="128"/>
          </rPr>
          <t xml:space="preserve"> </t>
        </r>
        <r>
          <rPr>
            <sz val="9"/>
            <color indexed="10"/>
            <rFont val="ＭＳ Ｐゴシック"/>
            <family val="3"/>
            <charset val="128"/>
          </rPr>
          <t>・医療扶助費＋200,000千円</t>
        </r>
      </text>
    </comment>
    <comment ref="C7" authorId="0" shapeId="0">
      <text>
        <r>
          <rPr>
            <sz val="9"/>
            <color indexed="12"/>
            <rFont val="ＭＳ Ｐゴシック"/>
            <family val="3"/>
            <charset val="128"/>
          </rPr>
          <t xml:space="preserve">
</t>
        </r>
        <r>
          <rPr>
            <sz val="9"/>
            <color indexed="10"/>
            <rFont val="ＭＳ Ｐゴシック"/>
            <family val="3"/>
            <charset val="128"/>
          </rPr>
          <t>・元金▲121,450千円（7,408,652千円）・利子＋65,149千円（長期債利子306,479千円、一時借入金利子12,100千円）</t>
        </r>
      </text>
    </comment>
    <comment ref="C9" authorId="0" shapeId="0">
      <text>
        <r>
          <rPr>
            <sz val="9"/>
            <color indexed="12"/>
            <rFont val="ＭＳ Ｐゴシック"/>
            <family val="3"/>
            <charset val="128"/>
          </rPr>
          <t xml:space="preserve">
</t>
        </r>
        <r>
          <rPr>
            <sz val="9"/>
            <color indexed="10"/>
            <rFont val="ＭＳ Ｐゴシック"/>
            <family val="3"/>
            <charset val="128"/>
          </rPr>
          <t xml:space="preserve">
・光熱水費▲234,140千円・ｼｽﾃﾑ標準化業務委託料＋397,900千円・ｺﾛﾅﾜｸﾁﾝ接種委託料▲740,000千円
・ｺﾛﾅﾜｸﾁﾝ接種支援業務委託料▲790,000千円・高齢者予防接種委託料＋200,000千円・外国語指導助手派遣手数料＋170,000千円</t>
        </r>
      </text>
    </comment>
    <comment ref="C10" authorId="0" shapeId="0">
      <text>
        <r>
          <rPr>
            <sz val="9"/>
            <color indexed="12"/>
            <rFont val="ＭＳ Ｐゴシック"/>
            <family val="3"/>
            <charset val="128"/>
          </rPr>
          <t xml:space="preserve">
</t>
        </r>
        <r>
          <rPr>
            <sz val="9"/>
            <color indexed="10"/>
            <rFont val="ＭＳ Ｐゴシック"/>
            <family val="3"/>
            <charset val="128"/>
          </rPr>
          <t>・修繕料（南越谷にぎわい推進事業費）＋44,000千円（皆増）　・修繕料（児童館施設管理費）▲16,600千円・修繕料（ﾘｻｲｸﾙﾌﾟﾗｻﾞ施設管理費）▲23,000千円・修繕料（河川施設維持管理費）＋11,500千円・修繕料（小学校施設改修費）＋36,000千円</t>
        </r>
      </text>
    </comment>
    <comment ref="C11" authorId="0" shapeId="0">
      <text>
        <r>
          <rPr>
            <sz val="9"/>
            <color indexed="12"/>
            <rFont val="ＭＳ Ｐゴシック"/>
            <family val="3"/>
            <charset val="128"/>
          </rPr>
          <t xml:space="preserve">
</t>
        </r>
        <r>
          <rPr>
            <sz val="9"/>
            <color indexed="10"/>
            <rFont val="ＭＳ Ｐゴシック"/>
            <family val="3"/>
            <charset val="128"/>
          </rPr>
          <t>・物価高騰対応生活支援給付金＋100,000千円（皆増）・療養給付費負担金＋214,000千円・出産・子育て応援給付金＋300,000千円（皆増）
・東埼玉資源環境組合負担金＋591,050千円・病院事業会計負担金＋490,000千円・公共下水道事業会計負担金▲110,800千円</t>
        </r>
      </text>
    </comment>
    <comment ref="C12" authorId="0" shapeId="0">
      <text>
        <r>
          <rPr>
            <sz val="9"/>
            <color indexed="12"/>
            <rFont val="ＭＳ Ｐゴシック"/>
            <family val="3"/>
            <charset val="128"/>
          </rPr>
          <t xml:space="preserve">
</t>
        </r>
        <r>
          <rPr>
            <sz val="9"/>
            <color indexed="10"/>
            <rFont val="ＭＳ Ｐゴシック"/>
            <family val="3"/>
            <charset val="128"/>
          </rPr>
          <t>・財政調整基金＋2,300千円・森林環境譲与税基金＋1,000千円・越谷しらこばと基金＋19,000千円</t>
        </r>
      </text>
    </comment>
    <comment ref="C14" authorId="0" shapeId="0">
      <text>
        <r>
          <rPr>
            <sz val="9"/>
            <color indexed="12"/>
            <rFont val="ＭＳ Ｐゴシック"/>
            <family val="3"/>
            <charset val="128"/>
          </rPr>
          <t xml:space="preserve">
</t>
        </r>
        <r>
          <rPr>
            <sz val="9"/>
            <color indexed="10"/>
            <rFont val="ＭＳ Ｐゴシック"/>
            <family val="3"/>
            <charset val="128"/>
          </rPr>
          <t>・入学準備金▲4,000千円</t>
        </r>
      </text>
    </comment>
    <comment ref="C15" authorId="0" shapeId="0">
      <text>
        <r>
          <rPr>
            <sz val="9"/>
            <color indexed="12"/>
            <rFont val="ＭＳ Ｐゴシック"/>
            <family val="3"/>
            <charset val="128"/>
          </rPr>
          <t xml:space="preserve">
・国民健康保険会計▲90,000千円 ・後期高齢者医療会計＋8,000千円 ・介護保険会計＋100,000千円 </t>
        </r>
        <r>
          <rPr>
            <sz val="9"/>
            <color indexed="10"/>
            <rFont val="ＭＳ Ｐゴシック"/>
            <family val="3"/>
            <charset val="128"/>
          </rPr>
          <t>・東越谷区画整理会計±0円
・西大袋区画整理会計▲10,000千円・公共用地先行取得会計＋100千円</t>
        </r>
      </text>
    </comment>
    <comment ref="C17" authorId="0" shapeId="0">
      <text>
        <r>
          <rPr>
            <sz val="9"/>
            <color indexed="12"/>
            <rFont val="ＭＳ Ｐゴシック"/>
            <family val="3"/>
            <charset val="128"/>
          </rPr>
          <t xml:space="preserve">
</t>
        </r>
        <r>
          <rPr>
            <sz val="9"/>
            <color indexed="10"/>
            <rFont val="ＭＳ Ｐゴシック"/>
            <family val="3"/>
            <charset val="128"/>
          </rPr>
          <t>・地域密着型ｻｰﾋﾞｽ等整備助成事業費等補助金▲94,800千円（皆減） ・街路築造工事費(越谷吉川線整備事業)＋220,000千円（皆増）
・公園整備工事費（住区基幹公園等整備事業）▲146,800千円（皆減）・校舎改修工事費（小学校施設改修費）＋236,000千円（皆増）</t>
        </r>
      </text>
    </comment>
    <comment ref="C18" authorId="0" shapeId="0">
      <text>
        <r>
          <rPr>
            <sz val="9"/>
            <color indexed="12"/>
            <rFont val="ＭＳ Ｐゴシック"/>
            <family val="3"/>
            <charset val="128"/>
          </rPr>
          <t xml:space="preserve">
</t>
        </r>
        <r>
          <rPr>
            <sz val="9"/>
            <color indexed="10"/>
            <rFont val="ＭＳ Ｐゴシック"/>
            <family val="3"/>
            <charset val="128"/>
          </rPr>
          <t xml:space="preserve">
・新庁舎建設工事費▲1,041,200千円（皆減）・外構整備工事費（本庁舎建設事業）▲680,000千円（皆減）・大袋地区ｾﾝﾀｰ・公民館建設工事費＋720,000千円（皆増）・設備等改修工事費（屋内運動場等空調設備設置事業）＋1,432,000千円（皆増）</t>
        </r>
      </text>
    </comment>
    <comment ref="C19" authorId="0" shapeId="0">
      <text>
        <r>
          <rPr>
            <sz val="9"/>
            <color indexed="12"/>
            <rFont val="ＭＳ Ｐゴシック"/>
            <family val="3"/>
            <charset val="128"/>
          </rPr>
          <t xml:space="preserve">
</t>
        </r>
        <r>
          <rPr>
            <sz val="9"/>
            <color indexed="10"/>
            <rFont val="ＭＳ Ｐゴシック"/>
            <family val="3"/>
            <charset val="128"/>
          </rPr>
          <t xml:space="preserve">
・古利根堰耐震対策事業費負担金▲19,000千円・越谷吉川線整備事業費負担金▲1,300千円
・南浦和越谷線整備事業費負担金▲14,100千円・浦和野田線整備事業費負担金＋62,500千円</t>
        </r>
      </text>
    </comment>
  </commentList>
</comments>
</file>

<file path=xl/comments5.xml><?xml version="1.0" encoding="utf-8"?>
<comments xmlns="http://schemas.openxmlformats.org/spreadsheetml/2006/main">
  <authors>
    <author>越谷市役所</author>
  </authors>
  <commentList>
    <comment ref="C13" authorId="0" shapeId="0">
      <text>
        <r>
          <rPr>
            <sz val="9"/>
            <color indexed="10"/>
            <rFont val="ＭＳ Ｐゴシック"/>
            <family val="3"/>
            <charset val="128"/>
          </rPr>
          <t>繰入金（公共施設等整備基金＋132,000千円、森林環境譲与税基金＋34,900千円等）で増となったが、定額減税の影響により、市税（個人市民税▲1,004,000千円等）で減となったことなどにより前年度に比べ減</t>
        </r>
      </text>
    </comment>
    <comment ref="C27" authorId="0" shapeId="0">
      <text>
        <r>
          <rPr>
            <sz val="9"/>
            <color indexed="10"/>
            <rFont val="ＭＳ Ｐゴシック"/>
            <family val="3"/>
            <charset val="128"/>
          </rPr>
          <t>地方消費税交付金で減となったが、定額減税の影響による地方特例交付金の増や、地方交付税の増、小中学校屋内運動場等空調設備設置事業に伴う市債の増などにより前年度に比べ増</t>
        </r>
      </text>
    </comment>
  </commentList>
</comments>
</file>

<file path=xl/comments6.xml><?xml version="1.0" encoding="utf-8"?>
<comments xmlns="http://schemas.openxmlformats.org/spreadsheetml/2006/main">
  <authors>
    <author>越谷市役所</author>
  </authors>
  <commentList>
    <comment ref="B5" authorId="0" shapeId="0">
      <text>
        <r>
          <rPr>
            <sz val="9"/>
            <color indexed="10"/>
            <rFont val="ＭＳ Ｐゴシック"/>
            <family val="3"/>
            <charset val="128"/>
          </rPr>
          <t xml:space="preserve"> 
 R6.6～R7.8  R6　70,000、R7　105,000</t>
        </r>
      </text>
    </comment>
    <comment ref="B6" authorId="0" shapeId="0">
      <text>
        <r>
          <rPr>
            <sz val="9"/>
            <color indexed="10"/>
            <rFont val="ＭＳ Ｐゴシック"/>
            <family val="3"/>
            <charset val="128"/>
          </rPr>
          <t xml:space="preserve">
R6.8～R8.3　R6　5,600、R7　6,400</t>
        </r>
      </text>
    </comment>
    <comment ref="B7" authorId="0" shapeId="0">
      <text>
        <r>
          <rPr>
            <sz val="9"/>
            <color indexed="10"/>
            <rFont val="ＭＳ Ｐゴシック"/>
            <family val="3"/>
            <charset val="128"/>
          </rPr>
          <t xml:space="preserve">
R6.4～R8.3　R6　28,000、R7　18,000</t>
        </r>
      </text>
    </comment>
    <comment ref="B8" authorId="0" shapeId="0">
      <text>
        <r>
          <rPr>
            <sz val="9"/>
            <color indexed="10"/>
            <rFont val="ＭＳ Ｐゴシック"/>
            <family val="3"/>
            <charset val="128"/>
          </rPr>
          <t xml:space="preserve">
R6.4～R8.3　R6　420,000、R7　700,000</t>
        </r>
      </text>
    </comment>
    <comment ref="B9" authorId="0" shapeId="0">
      <text>
        <r>
          <rPr>
            <sz val="9"/>
            <color indexed="10"/>
            <rFont val="ＭＳ Ｐゴシック"/>
            <family val="3"/>
            <charset val="128"/>
          </rPr>
          <t xml:space="preserve">
R6.7～R7.12　R6　736,000、R7　1,096,000</t>
        </r>
      </text>
    </comment>
    <comment ref="B10" authorId="0" shapeId="0">
      <text>
        <r>
          <rPr>
            <sz val="9"/>
            <color indexed="10"/>
            <rFont val="ＭＳ Ｐゴシック"/>
            <family val="3"/>
            <charset val="128"/>
          </rPr>
          <t xml:space="preserve"> 
R6.6～R8.1　R6　0、R7　17,600</t>
        </r>
      </text>
    </comment>
    <comment ref="B11" authorId="0" shapeId="0">
      <text>
        <r>
          <rPr>
            <sz val="9"/>
            <color indexed="10"/>
            <rFont val="ＭＳ Ｐゴシック"/>
            <family val="3"/>
            <charset val="128"/>
          </rPr>
          <t xml:space="preserve"> 
R6.4～R8.3　R6　8,500、R7　4,500</t>
        </r>
      </text>
    </comment>
    <comment ref="B12" authorId="0" shapeId="0">
      <text>
        <r>
          <rPr>
            <sz val="9"/>
            <color indexed="10"/>
            <rFont val="ＭＳ Ｐゴシック"/>
            <family val="3"/>
            <charset val="128"/>
          </rPr>
          <t xml:space="preserve"> 
R6.6～R8.3　R6　6,100、R7　6,900</t>
        </r>
      </text>
    </comment>
    <comment ref="B13" authorId="0" shapeId="0">
      <text>
        <r>
          <rPr>
            <sz val="9"/>
            <color indexed="10"/>
            <rFont val="ＭＳ Ｐゴシック"/>
            <family val="3"/>
            <charset val="128"/>
          </rPr>
          <t xml:space="preserve"> 
R6.7～R7.10　R6　131,000、R7　9,000</t>
        </r>
      </text>
    </comment>
    <comment ref="B14" authorId="0" shapeId="0">
      <text>
        <r>
          <rPr>
            <sz val="9"/>
            <color indexed="10"/>
            <rFont val="ＭＳ Ｐゴシック"/>
            <family val="3"/>
            <charset val="128"/>
          </rPr>
          <t xml:space="preserve"> 
R6.7～R7.10　R6　0、R7　1,500</t>
        </r>
      </text>
    </comment>
    <comment ref="B15" authorId="0" shapeId="0">
      <text>
        <r>
          <rPr>
            <sz val="9"/>
            <color indexed="10"/>
            <rFont val="ＭＳ Ｐゴシック"/>
            <family val="3"/>
            <charset val="128"/>
          </rPr>
          <t xml:space="preserve"> 
R6.4～R10.6　R6　1,060、R7　1,060、R8　1,060
　　　　　　　　  R9　1,320、R10　1,270</t>
        </r>
      </text>
    </comment>
    <comment ref="B16" authorId="0" shapeId="0">
      <text>
        <r>
          <rPr>
            <sz val="9"/>
            <color indexed="10"/>
            <rFont val="ＭＳ Ｐゴシック"/>
            <family val="3"/>
            <charset val="128"/>
          </rPr>
          <t xml:space="preserve"> 
R6.6～R8.2　R6　72,000、R7　108,000</t>
        </r>
      </text>
    </comment>
    <comment ref="B17" authorId="0" shapeId="0">
      <text>
        <r>
          <rPr>
            <sz val="9"/>
            <color indexed="10"/>
            <rFont val="ＭＳ Ｐゴシック"/>
            <family val="3"/>
            <charset val="128"/>
          </rPr>
          <t xml:space="preserve"> 
R6.7～R8.2　R6　60,000、R7　90,000</t>
        </r>
      </text>
    </comment>
    <comment ref="B18" authorId="0" shapeId="0">
      <text>
        <r>
          <rPr>
            <sz val="9"/>
            <color indexed="10"/>
            <rFont val="ＭＳ Ｐゴシック"/>
            <family val="3"/>
            <charset val="128"/>
          </rPr>
          <t xml:space="preserve"> 
R6.4～R8.3　R6　0、R7　10,800</t>
        </r>
      </text>
    </comment>
    <comment ref="B19" authorId="0" shapeId="0">
      <text>
        <r>
          <rPr>
            <sz val="9"/>
            <color indexed="10"/>
            <rFont val="ＭＳ Ｐゴシック"/>
            <family val="3"/>
            <charset val="128"/>
          </rPr>
          <t xml:space="preserve"> 
R6.9～R8.3　R6　44,300、R7　3,883,700</t>
        </r>
      </text>
    </comment>
    <comment ref="B20" authorId="0" shapeId="0">
      <text>
        <r>
          <rPr>
            <sz val="9"/>
            <color indexed="10"/>
            <rFont val="ＭＳ Ｐゴシック"/>
            <family val="3"/>
            <charset val="128"/>
          </rPr>
          <t xml:space="preserve"> 
R6.9～R13.3　R6　0、R7　0、R8　219,600、R9　219,600
R10　219,600、R11　219,600、R12　219,600</t>
        </r>
      </text>
    </comment>
    <comment ref="B21" authorId="0" shapeId="0">
      <text>
        <r>
          <rPr>
            <sz val="9"/>
            <color indexed="10"/>
            <rFont val="ＭＳ Ｐゴシック"/>
            <family val="3"/>
            <charset val="128"/>
          </rPr>
          <t xml:space="preserve"> 
R7.2～R8.2　R6　29,000、R7　43,500</t>
        </r>
      </text>
    </comment>
    <comment ref="B22" authorId="0" shapeId="0">
      <text>
        <r>
          <rPr>
            <sz val="9"/>
            <color indexed="10"/>
            <rFont val="ＭＳ Ｐゴシック"/>
            <family val="3"/>
            <charset val="128"/>
          </rPr>
          <t xml:space="preserve"> 
R6.4～R8.3　R6　20,000、R7　54,000</t>
        </r>
      </text>
    </comment>
    <comment ref="B23" authorId="0" shapeId="0">
      <text>
        <r>
          <rPr>
            <sz val="9"/>
            <color indexed="10"/>
            <rFont val="ＭＳ Ｐゴシック"/>
            <family val="3"/>
            <charset val="128"/>
          </rPr>
          <t xml:space="preserve"> 
R6.4～R8.3　R6　5,000、R7　3,000</t>
        </r>
      </text>
    </comment>
  </commentList>
</comments>
</file>

<file path=xl/comments7.xml><?xml version="1.0" encoding="utf-8"?>
<comments xmlns="http://schemas.openxmlformats.org/spreadsheetml/2006/main">
  <authors>
    <author>09NUSER</author>
    <author>越谷市役所</author>
    <author>user</author>
  </authors>
  <commentList>
    <comment ref="B5" authorId="0" shapeId="0">
      <text>
        <r>
          <rPr>
            <sz val="9"/>
            <color indexed="10"/>
            <rFont val="ＭＳ ゴシック"/>
            <family val="3"/>
            <charset val="128"/>
          </rPr>
          <t xml:space="preserve">
充当率９０％　第２庁舎照明LED化
充当率１００％　第２庁舎受電設備</t>
        </r>
      </text>
    </comment>
    <comment ref="K5" authorId="0" shapeId="0">
      <text>
        <r>
          <rPr>
            <sz val="9"/>
            <color indexed="10"/>
            <rFont val="ＭＳ ゴシック"/>
            <family val="3"/>
            <charset val="128"/>
          </rPr>
          <t xml:space="preserve">
充当率９０％　第２庁舎照明LED化
充当率１００％　第２庁舎受電設備</t>
        </r>
      </text>
    </comment>
    <comment ref="B6" authorId="0" shapeId="0">
      <text>
        <r>
          <rPr>
            <sz val="9"/>
            <color indexed="10"/>
            <rFont val="ＭＳ ゴシック"/>
            <family val="3"/>
            <charset val="128"/>
          </rPr>
          <t xml:space="preserve">
 充当率７５％　大袋地区センター建設工事、工事監理</t>
        </r>
      </text>
    </comment>
    <comment ref="K6" authorId="0" shapeId="0">
      <text>
        <r>
          <rPr>
            <sz val="9"/>
            <color indexed="10"/>
            <rFont val="ＭＳ ゴシック"/>
            <family val="3"/>
            <charset val="128"/>
          </rPr>
          <t xml:space="preserve">
 充当率７５％　大袋地区センター建設工事、工事監理</t>
        </r>
      </text>
    </comment>
    <comment ref="B7" authorId="1" shapeId="0">
      <text>
        <r>
          <rPr>
            <sz val="9"/>
            <color indexed="10"/>
            <rFont val="ＭＳ ゴシック"/>
            <family val="3"/>
            <charset val="128"/>
          </rPr>
          <t xml:space="preserve"> 充当率７５％　中央市民会館エレベーター更新工事
 充当率１００％　中央市民会館トイレ洋式化工事</t>
        </r>
      </text>
    </comment>
    <comment ref="K7" authorId="1" shapeId="0">
      <text>
        <r>
          <rPr>
            <sz val="9"/>
            <color indexed="10"/>
            <rFont val="ＭＳ ゴシック"/>
            <family val="3"/>
            <charset val="128"/>
          </rPr>
          <t xml:space="preserve"> 充当率７５％　中央市民会館エレベーター更新工事
 充当率１００％　中央市民会館トイレ洋式化工事</t>
        </r>
      </text>
    </comment>
    <comment ref="B8" authorId="0" shapeId="0">
      <text>
        <r>
          <rPr>
            <sz val="9"/>
            <color indexed="10"/>
            <rFont val="ＭＳ ゴシック"/>
            <family val="3"/>
            <charset val="128"/>
          </rPr>
          <t>充当率７５％　赤山交流館エレベーター更新工事</t>
        </r>
      </text>
    </comment>
    <comment ref="K8" authorId="0" shapeId="0">
      <text>
        <r>
          <rPr>
            <sz val="9"/>
            <color indexed="10"/>
            <rFont val="ＭＳ ゴシック"/>
            <family val="3"/>
            <charset val="128"/>
          </rPr>
          <t>充当率７５％　赤山交流館エレベーター更新工事</t>
        </r>
      </text>
    </comment>
    <comment ref="B9" authorId="0" shapeId="0">
      <text>
        <r>
          <rPr>
            <sz val="9"/>
            <color indexed="10"/>
            <rFont val="ＭＳ ゴシック"/>
            <family val="3"/>
            <charset val="128"/>
          </rPr>
          <t>充当率１００％　被災者支援システム導入費 ※補助対象4,500千円</t>
        </r>
      </text>
    </comment>
    <comment ref="K9" authorId="0" shapeId="0">
      <text>
        <r>
          <rPr>
            <sz val="9"/>
            <color indexed="10"/>
            <rFont val="ＭＳ ゴシック"/>
            <family val="3"/>
            <charset val="128"/>
          </rPr>
          <t>充当率１００％　被災者支援システム導入費 ※補助対象4,500千円</t>
        </r>
      </text>
    </comment>
    <comment ref="B10" authorId="0" shapeId="0">
      <text>
        <r>
          <rPr>
            <sz val="9"/>
            <color indexed="10"/>
            <rFont val="ＭＳ ゴシック"/>
            <family val="3"/>
            <charset val="128"/>
          </rPr>
          <t>充当率１００％、・８０％</t>
        </r>
      </text>
    </comment>
    <comment ref="K10" authorId="0" shapeId="0">
      <text>
        <r>
          <rPr>
            <sz val="9"/>
            <color indexed="10"/>
            <rFont val="ＭＳ ゴシック"/>
            <family val="3"/>
            <charset val="128"/>
          </rPr>
          <t>充当率１００％、・８０％</t>
        </r>
      </text>
    </comment>
    <comment ref="B11" authorId="0" shapeId="0">
      <text>
        <r>
          <rPr>
            <sz val="9"/>
            <color indexed="10"/>
            <rFont val="ＭＳ ゴシック"/>
            <family val="3"/>
            <charset val="128"/>
          </rPr>
          <t>充当率９０％　大沢第一・中央保育所解体設計
充当率８０％　（仮称）緑の森公園保育所整備事業</t>
        </r>
      </text>
    </comment>
    <comment ref="K11" authorId="0" shapeId="0">
      <text>
        <r>
          <rPr>
            <sz val="9"/>
            <color indexed="10"/>
            <rFont val="ＭＳ ゴシック"/>
            <family val="3"/>
            <charset val="128"/>
          </rPr>
          <t>充当率９０％　大相模保育所除却事業
充当率８０％　（仮称）緑の森公園保育所整備事業</t>
        </r>
      </text>
    </comment>
    <comment ref="B12" authorId="0" shapeId="0">
      <text>
        <r>
          <rPr>
            <sz val="9"/>
            <color indexed="10"/>
            <rFont val="ＭＳ ゴシック"/>
            <family val="3"/>
            <charset val="128"/>
          </rPr>
          <t>充当率８０％　荻島・大袋学童保育室建設工事</t>
        </r>
      </text>
    </comment>
    <comment ref="K12" authorId="0" shapeId="0">
      <text>
        <r>
          <rPr>
            <sz val="9"/>
            <color indexed="10"/>
            <rFont val="ＭＳ ゴシック"/>
            <family val="3"/>
            <charset val="128"/>
          </rPr>
          <t>充当率８０％　荻島・大袋学童保育室建設工事</t>
        </r>
      </text>
    </comment>
    <comment ref="B13" authorId="0" shapeId="0">
      <text>
        <r>
          <rPr>
            <sz val="9"/>
            <color indexed="10"/>
            <rFont val="ＭＳ ゴシック"/>
            <family val="3"/>
            <charset val="128"/>
          </rPr>
          <t>充当率９０％　児童館コスモス照明LED化</t>
        </r>
      </text>
    </comment>
    <comment ref="K13" authorId="0" shapeId="0">
      <text>
        <r>
          <rPr>
            <sz val="9"/>
            <color indexed="10"/>
            <rFont val="ＭＳ ゴシック"/>
            <family val="3"/>
            <charset val="128"/>
          </rPr>
          <t>充当率９０％　児童館コスモス照明LED化</t>
        </r>
      </text>
    </comment>
    <comment ref="B14" authorId="0" shapeId="0">
      <text>
        <r>
          <rPr>
            <sz val="9"/>
            <color indexed="10"/>
            <rFont val="ＭＳ ゴシック"/>
            <family val="3"/>
            <charset val="128"/>
          </rPr>
          <t xml:space="preserve">充当率９０％
</t>
        </r>
      </text>
    </comment>
    <comment ref="K14" authorId="0" shapeId="0">
      <text>
        <r>
          <rPr>
            <sz val="9"/>
            <color indexed="10"/>
            <rFont val="ＭＳ ゴシック"/>
            <family val="3"/>
            <charset val="128"/>
          </rPr>
          <t xml:space="preserve">充当率９０％
</t>
        </r>
      </text>
    </comment>
    <comment ref="B15" authorId="0" shapeId="0">
      <text>
        <r>
          <rPr>
            <sz val="9"/>
            <color indexed="10"/>
            <rFont val="ＭＳ ゴシック"/>
            <family val="3"/>
            <charset val="128"/>
          </rPr>
          <t>充当率９０％　増林地区農地耕作条件改善事業</t>
        </r>
      </text>
    </comment>
    <comment ref="K15" authorId="0" shapeId="0">
      <text>
        <r>
          <rPr>
            <sz val="9"/>
            <color indexed="10"/>
            <rFont val="ＭＳ ゴシック"/>
            <family val="3"/>
            <charset val="128"/>
          </rPr>
          <t>充当率９０％　増林地区農地耕作条件改善事業</t>
        </r>
      </text>
    </comment>
    <comment ref="B16" authorId="0" shapeId="0">
      <text>
        <r>
          <rPr>
            <sz val="9"/>
            <color indexed="10"/>
            <rFont val="ＭＳ ゴシック"/>
            <family val="3"/>
            <charset val="128"/>
          </rPr>
          <t>充当率９０％　かんがい排水整備事業</t>
        </r>
      </text>
    </comment>
    <comment ref="K16" authorId="0" shapeId="0">
      <text>
        <r>
          <rPr>
            <sz val="9"/>
            <color indexed="10"/>
            <rFont val="ＭＳ ゴシック"/>
            <family val="3"/>
            <charset val="128"/>
          </rPr>
          <t>充当率９０％　かんがい排水整備事業</t>
        </r>
      </text>
    </comment>
    <comment ref="B17" authorId="0" shapeId="0">
      <text>
        <r>
          <rPr>
            <sz val="9"/>
            <color indexed="10"/>
            <rFont val="ＭＳ ゴシック"/>
            <family val="3"/>
            <charset val="128"/>
          </rPr>
          <t>充当率９０％　古利根堰耐震対策事業</t>
        </r>
      </text>
    </comment>
    <comment ref="K17" authorId="0" shapeId="0">
      <text>
        <r>
          <rPr>
            <sz val="9"/>
            <color indexed="10"/>
            <rFont val="ＭＳ ゴシック"/>
            <family val="3"/>
            <charset val="128"/>
          </rPr>
          <t>充当率９０％　古利根堰耐震対策事業</t>
        </r>
      </text>
    </comment>
    <comment ref="B18" authorId="0" shapeId="0">
      <text>
        <r>
          <rPr>
            <sz val="9"/>
            <color indexed="12"/>
            <rFont val="ＭＳ ゴシック"/>
            <family val="3"/>
            <charset val="128"/>
          </rPr>
          <t xml:space="preserve">
</t>
        </r>
        <r>
          <rPr>
            <sz val="9"/>
            <color indexed="10"/>
            <rFont val="ＭＳ ゴシック"/>
            <family val="3"/>
            <charset val="128"/>
          </rPr>
          <t xml:space="preserve">
充当率９０％　道路舗装、通学路安全対策、道路改良、橋りょう施設維持管理、橋りょう耐震化、出羽堀沿道整備
充当率７５％　交通安全施設整備事業</t>
        </r>
      </text>
    </comment>
    <comment ref="K18" authorId="0" shapeId="0">
      <text>
        <r>
          <rPr>
            <sz val="9"/>
            <color indexed="12"/>
            <rFont val="ＭＳ ゴシック"/>
            <family val="3"/>
            <charset val="128"/>
          </rPr>
          <t xml:space="preserve">
</t>
        </r>
        <r>
          <rPr>
            <sz val="9"/>
            <color indexed="10"/>
            <rFont val="ＭＳ ゴシック"/>
            <family val="3"/>
            <charset val="128"/>
          </rPr>
          <t xml:space="preserve">
充当率９０％　道路舗装、通学路安全対策、道路改良、橋りょう施設維持管理、橋りょう耐震化、出羽堀沿道整備
充当率７５％　交通安全施設整備事業</t>
        </r>
      </text>
    </comment>
    <comment ref="B19" authorId="0" shapeId="0">
      <text>
        <r>
          <rPr>
            <sz val="9"/>
            <color indexed="12"/>
            <rFont val="ＭＳ ゴシック"/>
            <family val="3"/>
            <charset val="128"/>
          </rPr>
          <t xml:space="preserve">
</t>
        </r>
        <r>
          <rPr>
            <sz val="9"/>
            <color indexed="10"/>
            <rFont val="ＭＳ ゴシック"/>
            <family val="3"/>
            <charset val="128"/>
          </rPr>
          <t>充当率１００％　河川施設浚渫事業、排水機場施設改修事業、応急対策事業、末田落し改修事業、平新川改修事業
充当率９０％　新川用水整備事業</t>
        </r>
      </text>
    </comment>
    <comment ref="K19" authorId="0" shapeId="0">
      <text>
        <r>
          <rPr>
            <sz val="9"/>
            <color indexed="12"/>
            <rFont val="ＭＳ ゴシック"/>
            <family val="3"/>
            <charset val="128"/>
          </rPr>
          <t xml:space="preserve">
</t>
        </r>
        <r>
          <rPr>
            <sz val="9"/>
            <color indexed="10"/>
            <rFont val="ＭＳ ゴシック"/>
            <family val="3"/>
            <charset val="128"/>
          </rPr>
          <t>充当率１００％　河川施設浚渫事業、排水機場施設改修事業、応急対策事業、末田落し改修事業、平新川改修事業
充当率９０％　新川用水整備事業</t>
        </r>
      </text>
    </comment>
    <comment ref="B20" authorId="0" shapeId="0">
      <text>
        <r>
          <rPr>
            <sz val="9"/>
            <color indexed="10"/>
            <rFont val="ＭＳ ゴシック"/>
            <family val="3"/>
            <charset val="128"/>
          </rPr>
          <t>充当率９０％　越谷吉川線、川柳大成町線、南浦和越谷線、健康福祉村線、浦和野田線</t>
        </r>
      </text>
    </comment>
    <comment ref="K20" authorId="0" shapeId="0">
      <text>
        <r>
          <rPr>
            <sz val="9"/>
            <color indexed="10"/>
            <rFont val="ＭＳ ゴシック"/>
            <family val="3"/>
            <charset val="128"/>
          </rPr>
          <t>充当率９０％　越谷吉川線、川柳大成町線、南浦和越谷線、健康福祉村線、浦和野田線</t>
        </r>
      </text>
    </comment>
    <comment ref="B21" authorId="0" shapeId="0">
      <text>
        <r>
          <rPr>
            <sz val="9"/>
            <color indexed="10"/>
            <rFont val="ＭＳ ゴシック"/>
            <family val="3"/>
            <charset val="128"/>
          </rPr>
          <t>充当率１００％　ポンプ場施設改修事業</t>
        </r>
      </text>
    </comment>
    <comment ref="K21" authorId="0" shapeId="0">
      <text>
        <r>
          <rPr>
            <sz val="9"/>
            <color indexed="10"/>
            <rFont val="ＭＳ ゴシック"/>
            <family val="3"/>
            <charset val="128"/>
          </rPr>
          <t>充当率９０％　ポンプ場施設改修事業</t>
        </r>
      </text>
    </comment>
    <comment ref="B22" authorId="0" shapeId="0">
      <text>
        <r>
          <rPr>
            <sz val="9"/>
            <color indexed="12"/>
            <rFont val="ＭＳ ゴシック"/>
            <family val="3"/>
            <charset val="128"/>
          </rPr>
          <t xml:space="preserve"> </t>
        </r>
        <r>
          <rPr>
            <sz val="9"/>
            <color indexed="10"/>
            <rFont val="ＭＳ ゴシック"/>
            <family val="3"/>
            <charset val="128"/>
          </rPr>
          <t>充当率９０％ 平方公園整備事業
 充当率７５％ 公園施設改修事業(大杉公園トイレ外)、しらこばと運動公園整備事業、住区基幹公園整備事業</t>
        </r>
      </text>
    </comment>
    <comment ref="K22" authorId="0" shapeId="0">
      <text>
        <r>
          <rPr>
            <sz val="9"/>
            <color indexed="12"/>
            <rFont val="ＭＳ ゴシック"/>
            <family val="3"/>
            <charset val="128"/>
          </rPr>
          <t xml:space="preserve"> </t>
        </r>
        <r>
          <rPr>
            <sz val="9"/>
            <color indexed="10"/>
            <rFont val="ＭＳ ゴシック"/>
            <family val="3"/>
            <charset val="128"/>
          </rPr>
          <t>充当率９０％ 平方公園整備事業、
 充当率７５％ 公園施設改修事業(大杉公園トイレ外)、しらこばと運動公園整備事業、住区基幹公園整備事業</t>
        </r>
      </text>
    </comment>
    <comment ref="B23" authorId="0" shapeId="0">
      <text>
        <r>
          <rPr>
            <sz val="9"/>
            <color indexed="10"/>
            <rFont val="ＭＳ ゴシック"/>
            <family val="3"/>
            <charset val="128"/>
          </rPr>
          <t xml:space="preserve"> 充当率７５％　綾瀬川緑道整備事業、新方川緑道整備事業</t>
        </r>
      </text>
    </comment>
    <comment ref="K23" authorId="0" shapeId="0">
      <text>
        <r>
          <rPr>
            <sz val="9"/>
            <color indexed="10"/>
            <rFont val="ＭＳ ゴシック"/>
            <family val="3"/>
            <charset val="128"/>
          </rPr>
          <t xml:space="preserve"> 充当率７５％　綾瀬川緑道整備事業、新方川緑道整備事業</t>
        </r>
      </text>
    </comment>
    <comment ref="B24" authorId="0" shapeId="0">
      <text>
        <r>
          <rPr>
            <sz val="9"/>
            <color indexed="10"/>
            <rFont val="ＭＳ ゴシック"/>
            <family val="3"/>
            <charset val="128"/>
          </rPr>
          <t xml:space="preserve"> 充当率７５％　排水路整備事業、排水路安全施設整備事業</t>
        </r>
      </text>
    </comment>
    <comment ref="K24" authorId="0" shapeId="0">
      <text>
        <r>
          <rPr>
            <sz val="9"/>
            <color indexed="10"/>
            <rFont val="ＭＳ ゴシック"/>
            <family val="3"/>
            <charset val="128"/>
          </rPr>
          <t xml:space="preserve"> 充当率７５％　排水路整備事業、排水路安全施設整備事業</t>
        </r>
      </text>
    </comment>
    <comment ref="B25" authorId="0" shapeId="0">
      <text>
        <r>
          <rPr>
            <sz val="9"/>
            <color indexed="10"/>
            <rFont val="ＭＳ ゴシック"/>
            <family val="3"/>
            <charset val="128"/>
          </rPr>
          <t>充当率１００％　消防指令センター整備事業　充当率７５％　桜井分署実施設計</t>
        </r>
      </text>
    </comment>
    <comment ref="K25" authorId="0" shapeId="0">
      <text>
        <r>
          <rPr>
            <sz val="9"/>
            <color indexed="10"/>
            <rFont val="ＭＳ ゴシック"/>
            <family val="3"/>
            <charset val="128"/>
          </rPr>
          <t>充当率１００％　消防指令センター整備事業　充当率７５％　桜井分署実施設計</t>
        </r>
      </text>
    </comment>
    <comment ref="B26" authorId="0" shapeId="0">
      <text>
        <r>
          <rPr>
            <sz val="9"/>
            <color indexed="10"/>
            <rFont val="ＭＳ ゴシック"/>
            <family val="3"/>
            <charset val="128"/>
          </rPr>
          <t>充当率１００％　屋内運動場空調設備設置事業　充当率１００％・９５％・７５％ 西方小学校校舎外壁改修事業　
充当率１００％・７５％　北越谷小学校校舎外壁改修事業　充当率７５％　学校照明改修事業、大袋中学校外構改修事業</t>
        </r>
      </text>
    </comment>
    <comment ref="K26" authorId="0" shapeId="0">
      <text>
        <r>
          <rPr>
            <sz val="9"/>
            <color indexed="10"/>
            <rFont val="ＭＳ ゴシック"/>
            <family val="3"/>
            <charset val="128"/>
          </rPr>
          <t>充当率１００％　屋内運動場空調設備設置事業　充当率１００％・９５％・７５％ 西方小学校校舎外壁改修事業　
充当率１００％・７５％　北越谷小学校校舎外壁改修事業　充当率７５％　学校照明改修事業、大袋中学校外構改修事業</t>
        </r>
      </text>
    </comment>
    <comment ref="B27" authorId="0" shapeId="0">
      <text>
        <r>
          <rPr>
            <sz val="9"/>
            <color indexed="10"/>
            <rFont val="ＭＳ ゴシック"/>
            <family val="3"/>
            <charset val="128"/>
          </rPr>
          <t>充当率７５％　門塀改修工事、空調機改修工事</t>
        </r>
      </text>
    </comment>
    <comment ref="K27" authorId="0" shapeId="0">
      <text>
        <r>
          <rPr>
            <sz val="9"/>
            <color indexed="10"/>
            <rFont val="ＭＳ ゴシック"/>
            <family val="3"/>
            <charset val="128"/>
          </rPr>
          <t>充当率７５％　門塀改修工事、空調機改修工事</t>
        </r>
      </text>
    </comment>
    <comment ref="B28" authorId="2" shapeId="0">
      <text>
        <r>
          <rPr>
            <sz val="9"/>
            <color indexed="10"/>
            <rFont val="ＭＳ ゴシック"/>
            <family val="3"/>
            <charset val="128"/>
          </rPr>
          <t>充当率７５％　プレハブ冷蔵庫改修工事（第一給食センター）、エアカーテン設置工事（第三給食センター）
充当率７５％　備品整備事業 配送車（３台）</t>
        </r>
      </text>
    </comment>
    <comment ref="K28" authorId="2" shapeId="0">
      <text>
        <r>
          <rPr>
            <sz val="9"/>
            <color indexed="10"/>
            <rFont val="ＭＳ ゴシック"/>
            <family val="3"/>
            <charset val="128"/>
          </rPr>
          <t>充当率７５％　プレハブ冷蔵庫改修工事（第一給食センター）、エアカーテン設置工事（第三給食センター）
充当率７５％　備品整備事業 配送車（３台）</t>
        </r>
      </text>
    </comment>
    <comment ref="B29" authorId="2" shapeId="0">
      <text>
        <r>
          <rPr>
            <sz val="9"/>
            <color indexed="10"/>
            <rFont val="ＭＳ ゴシック"/>
            <family val="3"/>
            <charset val="128"/>
          </rPr>
          <t>充当率１００％　総合体育館トイレ改修工事
充当率７５％　総合公園庭球場改修工事、しらこばと運動公園庭球場改修工事</t>
        </r>
      </text>
    </comment>
    <comment ref="K29" authorId="2" shapeId="0">
      <text>
        <r>
          <rPr>
            <sz val="9"/>
            <color indexed="10"/>
            <rFont val="ＭＳ ゴシック"/>
            <family val="3"/>
            <charset val="128"/>
          </rPr>
          <t>充当率１００％　総合体育館トイレ改修工事
充当率７５％　川柳公園庭球場改修工事、しらこばと運動公園庭球場改修工事</t>
        </r>
      </text>
    </comment>
  </commentList>
</comments>
</file>

<file path=xl/comments8.xml><?xml version="1.0" encoding="utf-8"?>
<comments xmlns="http://schemas.openxmlformats.org/spreadsheetml/2006/main">
  <authors>
    <author>越谷市役所</author>
    <author>中村</author>
  </authors>
  <commentList>
    <comment ref="D83" authorId="0" shapeId="0">
      <text>
        <r>
          <rPr>
            <b/>
            <sz val="9"/>
            <color indexed="81"/>
            <rFont val="MS P ゴシック"/>
            <family val="3"/>
            <charset val="128"/>
          </rPr>
          <t>例年支弁人件費
▲250,000</t>
        </r>
      </text>
    </comment>
    <comment ref="G83" authorId="0" shapeId="0">
      <text>
        <r>
          <rPr>
            <b/>
            <sz val="9"/>
            <color indexed="81"/>
            <rFont val="MS P ゴシック"/>
            <family val="3"/>
            <charset val="128"/>
          </rPr>
          <t>例年支弁人件費
▲250,000</t>
        </r>
      </text>
    </comment>
    <comment ref="D87" authorId="0" shapeId="0">
      <text>
        <r>
          <rPr>
            <b/>
            <sz val="9"/>
            <color indexed="81"/>
            <rFont val="MS P ゴシック"/>
            <family val="3"/>
            <charset val="128"/>
          </rPr>
          <t>例年支弁人件費
+250,000</t>
        </r>
      </text>
    </comment>
    <comment ref="G87" authorId="0" shapeId="0">
      <text>
        <r>
          <rPr>
            <b/>
            <sz val="9"/>
            <color indexed="81"/>
            <rFont val="MS P ゴシック"/>
            <family val="3"/>
            <charset val="128"/>
          </rPr>
          <t>例年支弁人件費
+250,000</t>
        </r>
      </text>
    </comment>
    <comment ref="H90" authorId="0" shapeId="0">
      <text>
        <r>
          <rPr>
            <b/>
            <sz val="9"/>
            <color indexed="81"/>
            <rFont val="MS P ゴシック"/>
            <family val="3"/>
            <charset val="128"/>
          </rPr>
          <t>-0.1</t>
        </r>
      </text>
    </comment>
    <comment ref="E92" authorId="1" shapeId="0">
      <text>
        <r>
          <rPr>
            <sz val="9"/>
            <color indexed="81"/>
            <rFont val="MS P ゴシック"/>
            <family val="3"/>
            <charset val="128"/>
          </rPr>
          <t xml:space="preserve">-0.1
</t>
        </r>
      </text>
    </comment>
    <comment ref="H93" authorId="0" shapeId="0">
      <text>
        <r>
          <rPr>
            <b/>
            <sz val="9"/>
            <color indexed="81"/>
            <rFont val="MS P ゴシック"/>
            <family val="3"/>
            <charset val="128"/>
          </rPr>
          <t>-0.1</t>
        </r>
      </text>
    </comment>
  </commentList>
</comments>
</file>

<file path=xl/sharedStrings.xml><?xml version="1.0" encoding="utf-8"?>
<sst xmlns="http://schemas.openxmlformats.org/spreadsheetml/2006/main" count="1467" uniqueCount="952">
  <si>
    <t>款</t>
    <rPh sb="0" eb="1">
      <t>カン</t>
    </rPh>
    <phoneticPr fontId="4"/>
  </si>
  <si>
    <t>会　　　計　　　名</t>
    <rPh sb="0" eb="1">
      <t>カイ</t>
    </rPh>
    <rPh sb="4" eb="5">
      <t>ケイ</t>
    </rPh>
    <rPh sb="8" eb="9">
      <t>メイ</t>
    </rPh>
    <phoneticPr fontId="6"/>
  </si>
  <si>
    <t>一般会計</t>
    <rPh sb="0" eb="2">
      <t>イッパン</t>
    </rPh>
    <rPh sb="2" eb="4">
      <t>カイケイ</t>
    </rPh>
    <phoneticPr fontId="6"/>
  </si>
  <si>
    <t>特別会計</t>
    <rPh sb="0" eb="2">
      <t>トクベツ</t>
    </rPh>
    <rPh sb="2" eb="4">
      <t>カイケイ</t>
    </rPh>
    <phoneticPr fontId="6"/>
  </si>
  <si>
    <t>国民健康保険</t>
    <rPh sb="0" eb="2">
      <t>コクミン</t>
    </rPh>
    <rPh sb="2" eb="4">
      <t>ケンコウ</t>
    </rPh>
    <rPh sb="4" eb="6">
      <t>ホケン</t>
    </rPh>
    <phoneticPr fontId="6"/>
  </si>
  <si>
    <t>介護保険</t>
    <rPh sb="0" eb="2">
      <t>カイゴ</t>
    </rPh>
    <rPh sb="2" eb="4">
      <t>ホケン</t>
    </rPh>
    <phoneticPr fontId="6"/>
  </si>
  <si>
    <t>東越谷土地区画整理</t>
    <rPh sb="0" eb="3">
      <t>ヒガシコシガヤ</t>
    </rPh>
    <rPh sb="3" eb="5">
      <t>トチ</t>
    </rPh>
    <rPh sb="5" eb="7">
      <t>クカク</t>
    </rPh>
    <rPh sb="7" eb="9">
      <t>セイリ</t>
    </rPh>
    <phoneticPr fontId="6"/>
  </si>
  <si>
    <t>西大袋土地区画整理</t>
    <rPh sb="0" eb="1">
      <t>ニシ</t>
    </rPh>
    <rPh sb="1" eb="3">
      <t>オオブクロ</t>
    </rPh>
    <rPh sb="3" eb="5">
      <t>トチ</t>
    </rPh>
    <rPh sb="5" eb="7">
      <t>クカク</t>
    </rPh>
    <rPh sb="7" eb="9">
      <t>セイリ</t>
    </rPh>
    <phoneticPr fontId="6"/>
  </si>
  <si>
    <t>公共用地先行取得</t>
    <rPh sb="0" eb="2">
      <t>コウキョウ</t>
    </rPh>
    <rPh sb="2" eb="4">
      <t>ヨウチ</t>
    </rPh>
    <rPh sb="4" eb="6">
      <t>センコウ</t>
    </rPh>
    <rPh sb="6" eb="8">
      <t>シュトク</t>
    </rPh>
    <phoneticPr fontId="6"/>
  </si>
  <si>
    <t>病院事業会計</t>
    <rPh sb="0" eb="2">
      <t>ビョウイン</t>
    </rPh>
    <rPh sb="2" eb="4">
      <t>ジギョウ</t>
    </rPh>
    <rPh sb="4" eb="6">
      <t>カイケイ</t>
    </rPh>
    <phoneticPr fontId="6"/>
  </si>
  <si>
    <t>合　　　　　計</t>
    <rPh sb="0" eb="1">
      <t>ゴウ</t>
    </rPh>
    <rPh sb="6" eb="7">
      <t>ケイ</t>
    </rPh>
    <phoneticPr fontId="6"/>
  </si>
  <si>
    <t>前年度予算額</t>
    <rPh sb="0" eb="3">
      <t>ゼンネンド</t>
    </rPh>
    <rPh sb="3" eb="5">
      <t>ヨサン</t>
    </rPh>
    <rPh sb="5" eb="6">
      <t>ガク</t>
    </rPh>
    <phoneticPr fontId="6"/>
  </si>
  <si>
    <t>比較増減額</t>
    <rPh sb="0" eb="2">
      <t>ヒカク</t>
    </rPh>
    <rPh sb="2" eb="4">
      <t>ゾウゲン</t>
    </rPh>
    <rPh sb="4" eb="5">
      <t>ガク</t>
    </rPh>
    <phoneticPr fontId="6"/>
  </si>
  <si>
    <t>増減率</t>
    <rPh sb="0" eb="2">
      <t>ゾウゲン</t>
    </rPh>
    <rPh sb="2" eb="3">
      <t>リツ</t>
    </rPh>
    <phoneticPr fontId="6"/>
  </si>
  <si>
    <t>款</t>
    <rPh sb="0" eb="1">
      <t>カン</t>
    </rPh>
    <phoneticPr fontId="6"/>
  </si>
  <si>
    <t>構成比</t>
    <rPh sb="0" eb="3">
      <t>コウセイヒ</t>
    </rPh>
    <phoneticPr fontId="6"/>
  </si>
  <si>
    <t>切捨</t>
    <rPh sb="0" eb="1">
      <t>キ</t>
    </rPh>
    <rPh sb="1" eb="2">
      <t>ス</t>
    </rPh>
    <phoneticPr fontId="6"/>
  </si>
  <si>
    <t>端数</t>
    <rPh sb="0" eb="2">
      <t>ハスウ</t>
    </rPh>
    <phoneticPr fontId="6"/>
  </si>
  <si>
    <t>市税</t>
    <rPh sb="0" eb="2">
      <t>シゼイ</t>
    </rPh>
    <phoneticPr fontId="6"/>
  </si>
  <si>
    <t>利子割交付金</t>
    <rPh sb="0" eb="2">
      <t>リシ</t>
    </rPh>
    <rPh sb="2" eb="3">
      <t>ワリ</t>
    </rPh>
    <rPh sb="3" eb="6">
      <t>コウフキン</t>
    </rPh>
    <phoneticPr fontId="6"/>
  </si>
  <si>
    <t>地方消費税交付金</t>
    <rPh sb="0" eb="2">
      <t>チホウ</t>
    </rPh>
    <rPh sb="2" eb="5">
      <t>ショウヒゼイ</t>
    </rPh>
    <rPh sb="5" eb="8">
      <t>コウフキン</t>
    </rPh>
    <phoneticPr fontId="6"/>
  </si>
  <si>
    <t>自動車取得税交付金</t>
    <rPh sb="0" eb="3">
      <t>ジドウシャ</t>
    </rPh>
    <rPh sb="3" eb="5">
      <t>シュトク</t>
    </rPh>
    <rPh sb="5" eb="6">
      <t>ゼイ</t>
    </rPh>
    <rPh sb="6" eb="9">
      <t>コウフキン</t>
    </rPh>
    <phoneticPr fontId="6"/>
  </si>
  <si>
    <t>地方特例交付金</t>
    <rPh sb="0" eb="2">
      <t>チホウ</t>
    </rPh>
    <rPh sb="2" eb="4">
      <t>トクレイ</t>
    </rPh>
    <rPh sb="4" eb="7">
      <t>コウフキン</t>
    </rPh>
    <phoneticPr fontId="6"/>
  </si>
  <si>
    <t>地方交付税</t>
    <rPh sb="0" eb="2">
      <t>チホウ</t>
    </rPh>
    <rPh sb="2" eb="5">
      <t>コウフゼイ</t>
    </rPh>
    <phoneticPr fontId="6"/>
  </si>
  <si>
    <t>交通安全対策特別交付金</t>
    <rPh sb="0" eb="2">
      <t>コウツウ</t>
    </rPh>
    <rPh sb="2" eb="4">
      <t>アンゼン</t>
    </rPh>
    <rPh sb="4" eb="6">
      <t>タイサク</t>
    </rPh>
    <rPh sb="6" eb="8">
      <t>トクベツ</t>
    </rPh>
    <rPh sb="8" eb="11">
      <t>コウフキン</t>
    </rPh>
    <phoneticPr fontId="6"/>
  </si>
  <si>
    <t>分担金及び負担金</t>
    <rPh sb="0" eb="3">
      <t>ブンタンキン</t>
    </rPh>
    <rPh sb="3" eb="4">
      <t>オヨ</t>
    </rPh>
    <rPh sb="5" eb="8">
      <t>フタンキン</t>
    </rPh>
    <phoneticPr fontId="6"/>
  </si>
  <si>
    <t>国庫支出金</t>
    <rPh sb="0" eb="2">
      <t>コッコ</t>
    </rPh>
    <rPh sb="2" eb="5">
      <t>シシュツキン</t>
    </rPh>
    <phoneticPr fontId="6"/>
  </si>
  <si>
    <t>県支出金</t>
    <rPh sb="0" eb="1">
      <t>ケン</t>
    </rPh>
    <rPh sb="1" eb="4">
      <t>シシュツキン</t>
    </rPh>
    <phoneticPr fontId="6"/>
  </si>
  <si>
    <t>財産収入</t>
    <rPh sb="0" eb="2">
      <t>ザイサン</t>
    </rPh>
    <rPh sb="2" eb="4">
      <t>シュウニュウ</t>
    </rPh>
    <phoneticPr fontId="6"/>
  </si>
  <si>
    <t>寄附金</t>
    <rPh sb="0" eb="3">
      <t>キフキン</t>
    </rPh>
    <phoneticPr fontId="6"/>
  </si>
  <si>
    <t>議会費</t>
    <rPh sb="0" eb="2">
      <t>ギカイ</t>
    </rPh>
    <rPh sb="2" eb="3">
      <t>ヒ</t>
    </rPh>
    <phoneticPr fontId="6"/>
  </si>
  <si>
    <t>総務費</t>
    <rPh sb="0" eb="3">
      <t>ソウムヒ</t>
    </rPh>
    <phoneticPr fontId="6"/>
  </si>
  <si>
    <t>衛生費</t>
    <rPh sb="0" eb="3">
      <t>エイセイヒ</t>
    </rPh>
    <phoneticPr fontId="6"/>
  </si>
  <si>
    <t>労働費</t>
    <rPh sb="0" eb="3">
      <t>ロウドウヒ</t>
    </rPh>
    <phoneticPr fontId="6"/>
  </si>
  <si>
    <t>教育費</t>
    <rPh sb="0" eb="3">
      <t>キョウイクヒ</t>
    </rPh>
    <phoneticPr fontId="6"/>
  </si>
  <si>
    <t>災害復旧費</t>
    <rPh sb="0" eb="2">
      <t>サイガイ</t>
    </rPh>
    <rPh sb="2" eb="4">
      <t>フッキュウ</t>
    </rPh>
    <rPh sb="4" eb="5">
      <t>ヒ</t>
    </rPh>
    <phoneticPr fontId="6"/>
  </si>
  <si>
    <t>予備費</t>
    <rPh sb="0" eb="3">
      <t>ヨビヒ</t>
    </rPh>
    <phoneticPr fontId="6"/>
  </si>
  <si>
    <t>人件費</t>
    <rPh sb="0" eb="3">
      <t>ジンケンヒ</t>
    </rPh>
    <phoneticPr fontId="6"/>
  </si>
  <si>
    <t>投資及び出資金</t>
    <rPh sb="0" eb="2">
      <t>トウシ</t>
    </rPh>
    <rPh sb="2" eb="3">
      <t>オヨ</t>
    </rPh>
    <rPh sb="4" eb="7">
      <t>シュッシキン</t>
    </rPh>
    <phoneticPr fontId="6"/>
  </si>
  <si>
    <t>普通建設事業費</t>
    <rPh sb="0" eb="2">
      <t>フツウ</t>
    </rPh>
    <rPh sb="2" eb="4">
      <t>ケンセツ</t>
    </rPh>
    <rPh sb="4" eb="7">
      <t>ジギョウヒ</t>
    </rPh>
    <phoneticPr fontId="6"/>
  </si>
  <si>
    <t>合計の繰り上げ</t>
    <rPh sb="0" eb="2">
      <t>ゴウケイ</t>
    </rPh>
    <rPh sb="3" eb="4">
      <t>ク</t>
    </rPh>
    <rPh sb="5" eb="6">
      <t>ア</t>
    </rPh>
    <phoneticPr fontId="6"/>
  </si>
  <si>
    <t>小計の繰上げ</t>
    <rPh sb="0" eb="2">
      <t>ショウケイ</t>
    </rPh>
    <rPh sb="3" eb="5">
      <t>クリア</t>
    </rPh>
    <phoneticPr fontId="6"/>
  </si>
  <si>
    <t>普通建設の繰上げ</t>
    <rPh sb="0" eb="2">
      <t>フツウ</t>
    </rPh>
    <rPh sb="2" eb="4">
      <t>ケンセツ</t>
    </rPh>
    <rPh sb="5" eb="7">
      <t>クリア</t>
    </rPh>
    <phoneticPr fontId="6"/>
  </si>
  <si>
    <t>（単位：千円、％）</t>
    <rPh sb="1" eb="3">
      <t>タンイ</t>
    </rPh>
    <rPh sb="4" eb="6">
      <t>センエン</t>
    </rPh>
    <phoneticPr fontId="6"/>
  </si>
  <si>
    <t>前年度予算額</t>
    <rPh sb="0" eb="3">
      <t>ゼンネンド</t>
    </rPh>
    <rPh sb="3" eb="6">
      <t>ヨサンガク</t>
    </rPh>
    <phoneticPr fontId="6"/>
  </si>
  <si>
    <t>増減率</t>
    <rPh sb="0" eb="3">
      <t>ゾウゲンリツ</t>
    </rPh>
    <phoneticPr fontId="6"/>
  </si>
  <si>
    <t>１　歳　入</t>
    <rPh sb="2" eb="3">
      <t>トシ</t>
    </rPh>
    <rPh sb="4" eb="5">
      <t>イ</t>
    </rPh>
    <phoneticPr fontId="6"/>
  </si>
  <si>
    <t>地方譲与税</t>
    <rPh sb="0" eb="2">
      <t>チホウ</t>
    </rPh>
    <rPh sb="2" eb="5">
      <t>ジョウヨゼイ</t>
    </rPh>
    <phoneticPr fontId="6"/>
  </si>
  <si>
    <t>使用料及び手数料</t>
    <rPh sb="0" eb="3">
      <t>シヨウリョウ</t>
    </rPh>
    <rPh sb="3" eb="4">
      <t>オヨ</t>
    </rPh>
    <rPh sb="5" eb="8">
      <t>テスウリョウ</t>
    </rPh>
    <phoneticPr fontId="6"/>
  </si>
  <si>
    <t>繰入金</t>
    <rPh sb="0" eb="3">
      <t>クリイレキン</t>
    </rPh>
    <phoneticPr fontId="6"/>
  </si>
  <si>
    <t>繰越金</t>
    <rPh sb="0" eb="3">
      <t>クリコシキン</t>
    </rPh>
    <phoneticPr fontId="6"/>
  </si>
  <si>
    <t>諸収入</t>
    <rPh sb="0" eb="3">
      <t>ショシュウニュウ</t>
    </rPh>
    <phoneticPr fontId="6"/>
  </si>
  <si>
    <t>市債</t>
    <rPh sb="0" eb="1">
      <t>シ</t>
    </rPh>
    <rPh sb="1" eb="2">
      <t>サイ</t>
    </rPh>
    <phoneticPr fontId="6"/>
  </si>
  <si>
    <t>歳　入　合　計</t>
    <rPh sb="0" eb="1">
      <t>トシ</t>
    </rPh>
    <rPh sb="2" eb="3">
      <t>イ</t>
    </rPh>
    <rPh sb="4" eb="5">
      <t>ゴウ</t>
    </rPh>
    <rPh sb="6" eb="7">
      <t>ケイ</t>
    </rPh>
    <phoneticPr fontId="6"/>
  </si>
  <si>
    <t>２　歳　出［目的別］</t>
    <rPh sb="2" eb="3">
      <t>トシ</t>
    </rPh>
    <rPh sb="4" eb="5">
      <t>デ</t>
    </rPh>
    <rPh sb="6" eb="8">
      <t>モクテキ</t>
    </rPh>
    <rPh sb="8" eb="9">
      <t>ベツ</t>
    </rPh>
    <phoneticPr fontId="6"/>
  </si>
  <si>
    <t>民生費</t>
    <rPh sb="0" eb="3">
      <t>ミンセイヒ</t>
    </rPh>
    <phoneticPr fontId="6"/>
  </si>
  <si>
    <t>農林水産業費</t>
    <rPh sb="0" eb="2">
      <t>ノウリン</t>
    </rPh>
    <rPh sb="2" eb="5">
      <t>スイサンギョウ</t>
    </rPh>
    <rPh sb="5" eb="6">
      <t>ヒ</t>
    </rPh>
    <phoneticPr fontId="6"/>
  </si>
  <si>
    <t>商工費</t>
    <rPh sb="0" eb="3">
      <t>ショウコウヒ</t>
    </rPh>
    <phoneticPr fontId="6"/>
  </si>
  <si>
    <t>土木費</t>
    <rPh sb="0" eb="3">
      <t>ドボクヒ</t>
    </rPh>
    <phoneticPr fontId="6"/>
  </si>
  <si>
    <t>消防費</t>
    <rPh sb="0" eb="3">
      <t>ショウボウヒ</t>
    </rPh>
    <phoneticPr fontId="6"/>
  </si>
  <si>
    <t>公債費</t>
    <rPh sb="0" eb="3">
      <t>コウサイヒ</t>
    </rPh>
    <phoneticPr fontId="6"/>
  </si>
  <si>
    <t>諸支出金</t>
    <rPh sb="0" eb="3">
      <t>ショシシュツ</t>
    </rPh>
    <rPh sb="3" eb="4">
      <t>キン</t>
    </rPh>
    <phoneticPr fontId="6"/>
  </si>
  <si>
    <t>歳　出　合　計</t>
    <rPh sb="0" eb="1">
      <t>トシ</t>
    </rPh>
    <rPh sb="2" eb="3">
      <t>デ</t>
    </rPh>
    <rPh sb="4" eb="5">
      <t>ゴウ</t>
    </rPh>
    <rPh sb="6" eb="7">
      <t>ケイ</t>
    </rPh>
    <phoneticPr fontId="6"/>
  </si>
  <si>
    <t>２　歳　出［性質別］</t>
    <rPh sb="2" eb="3">
      <t>トシ</t>
    </rPh>
    <rPh sb="4" eb="5">
      <t>デ</t>
    </rPh>
    <rPh sb="6" eb="8">
      <t>セイシツ</t>
    </rPh>
    <rPh sb="8" eb="9">
      <t>ベツ</t>
    </rPh>
    <phoneticPr fontId="6"/>
  </si>
  <si>
    <t>扶助費</t>
    <rPh sb="0" eb="2">
      <t>フジョ</t>
    </rPh>
    <rPh sb="2" eb="3">
      <t>ヒ</t>
    </rPh>
    <phoneticPr fontId="6"/>
  </si>
  <si>
    <t>小　　　計</t>
    <rPh sb="0" eb="1">
      <t>ショウ</t>
    </rPh>
    <rPh sb="4" eb="5">
      <t>ケイ</t>
    </rPh>
    <phoneticPr fontId="6"/>
  </si>
  <si>
    <t>物件費</t>
    <rPh sb="0" eb="2">
      <t>ブッケン</t>
    </rPh>
    <rPh sb="2" eb="3">
      <t>ヒ</t>
    </rPh>
    <phoneticPr fontId="6"/>
  </si>
  <si>
    <t>維持補修費</t>
    <rPh sb="0" eb="2">
      <t>イジ</t>
    </rPh>
    <rPh sb="2" eb="5">
      <t>ホシュウヒ</t>
    </rPh>
    <phoneticPr fontId="6"/>
  </si>
  <si>
    <t>補助費等</t>
    <rPh sb="0" eb="3">
      <t>ホジョヒ</t>
    </rPh>
    <rPh sb="3" eb="4">
      <t>トウ</t>
    </rPh>
    <phoneticPr fontId="6"/>
  </si>
  <si>
    <t>積立金</t>
    <rPh sb="0" eb="3">
      <t>ツミタテキン</t>
    </rPh>
    <phoneticPr fontId="6"/>
  </si>
  <si>
    <t>貸付金</t>
    <rPh sb="0" eb="3">
      <t>カシツケキン</t>
    </rPh>
    <phoneticPr fontId="6"/>
  </si>
  <si>
    <t>繰出金</t>
    <rPh sb="0" eb="3">
      <t>クリダシキン</t>
    </rPh>
    <phoneticPr fontId="6"/>
  </si>
  <si>
    <t>補助事業費</t>
    <rPh sb="0" eb="2">
      <t>ホジョ</t>
    </rPh>
    <rPh sb="2" eb="5">
      <t>ジギョウヒ</t>
    </rPh>
    <phoneticPr fontId="6"/>
  </si>
  <si>
    <t>単独事業費</t>
    <rPh sb="0" eb="2">
      <t>タンドク</t>
    </rPh>
    <rPh sb="2" eb="5">
      <t>ジギョウヒ</t>
    </rPh>
    <phoneticPr fontId="6"/>
  </si>
  <si>
    <t>その他</t>
    <rPh sb="2" eb="3">
      <t>タ</t>
    </rPh>
    <phoneticPr fontId="6"/>
  </si>
  <si>
    <t>災害復旧事業費</t>
    <rPh sb="0" eb="2">
      <t>サイガイ</t>
    </rPh>
    <rPh sb="2" eb="4">
      <t>フッキュウ</t>
    </rPh>
    <rPh sb="4" eb="6">
      <t>ジギョウ</t>
    </rPh>
    <rPh sb="6" eb="7">
      <t>ヒ</t>
    </rPh>
    <phoneticPr fontId="6"/>
  </si>
  <si>
    <t>本年度予算額</t>
    <rPh sb="0" eb="3">
      <t>ホンネンド</t>
    </rPh>
    <rPh sb="3" eb="5">
      <t>ヨサン</t>
    </rPh>
    <rPh sb="5" eb="6">
      <t>ガク</t>
    </rPh>
    <phoneticPr fontId="6"/>
  </si>
  <si>
    <t>会  計  別  一  覧  表</t>
    <rPh sb="0" eb="1">
      <t>カイ</t>
    </rPh>
    <rPh sb="3" eb="4">
      <t>ケイ</t>
    </rPh>
    <rPh sb="6" eb="7">
      <t>ベツ</t>
    </rPh>
    <rPh sb="9" eb="10">
      <t>イチ</t>
    </rPh>
    <rPh sb="12" eb="13">
      <t>ラン</t>
    </rPh>
    <rPh sb="15" eb="16">
      <t>ヒョウ</t>
    </rPh>
    <phoneticPr fontId="6"/>
  </si>
  <si>
    <t>自  主  財  源</t>
    <rPh sb="0" eb="1">
      <t>ジ</t>
    </rPh>
    <rPh sb="3" eb="4">
      <t>シュ</t>
    </rPh>
    <rPh sb="6" eb="7">
      <t>ザイ</t>
    </rPh>
    <rPh sb="9" eb="10">
      <t>ミナモト</t>
    </rPh>
    <phoneticPr fontId="4"/>
  </si>
  <si>
    <t>区　　  分</t>
    <rPh sb="0" eb="1">
      <t>ク</t>
    </rPh>
    <rPh sb="5" eb="6">
      <t>ブン</t>
    </rPh>
    <phoneticPr fontId="6"/>
  </si>
  <si>
    <t>自 主 財 源 と 依 存 財 源</t>
    <rPh sb="0" eb="1">
      <t>ジ</t>
    </rPh>
    <rPh sb="2" eb="3">
      <t>シュ</t>
    </rPh>
    <rPh sb="4" eb="5">
      <t>ザイ</t>
    </rPh>
    <rPh sb="6" eb="7">
      <t>ミナモト</t>
    </rPh>
    <rPh sb="10" eb="11">
      <t>ヤスシ</t>
    </rPh>
    <rPh sb="12" eb="13">
      <t>ゾン</t>
    </rPh>
    <rPh sb="14" eb="15">
      <t>ザイ</t>
    </rPh>
    <rPh sb="16" eb="17">
      <t>ミナモト</t>
    </rPh>
    <phoneticPr fontId="6"/>
  </si>
  <si>
    <t>小    計</t>
    <rPh sb="0" eb="1">
      <t>ショウ</t>
    </rPh>
    <rPh sb="5" eb="6">
      <t>ケイ</t>
    </rPh>
    <phoneticPr fontId="4"/>
  </si>
  <si>
    <t>一 般 会 計 当 初 予 算</t>
    <rPh sb="0" eb="1">
      <t>イチ</t>
    </rPh>
    <rPh sb="2" eb="3">
      <t>パン</t>
    </rPh>
    <rPh sb="4" eb="5">
      <t>カイ</t>
    </rPh>
    <rPh sb="6" eb="7">
      <t>ケイ</t>
    </rPh>
    <rPh sb="8" eb="9">
      <t>トウ</t>
    </rPh>
    <rPh sb="10" eb="11">
      <t>ショ</t>
    </rPh>
    <rPh sb="12" eb="13">
      <t>ヨ</t>
    </rPh>
    <rPh sb="14" eb="15">
      <t>ザン</t>
    </rPh>
    <phoneticPr fontId="6"/>
  </si>
  <si>
    <t>配当割交付金</t>
    <rPh sb="0" eb="2">
      <t>ハイトウ</t>
    </rPh>
    <rPh sb="2" eb="3">
      <t>ワ</t>
    </rPh>
    <rPh sb="3" eb="6">
      <t>コウフキン</t>
    </rPh>
    <phoneticPr fontId="6"/>
  </si>
  <si>
    <t>株式等譲渡所得割交付金</t>
    <rPh sb="0" eb="2">
      <t>カブシキ</t>
    </rPh>
    <rPh sb="2" eb="3">
      <t>トウ</t>
    </rPh>
    <rPh sb="3" eb="5">
      <t>ジョウト</t>
    </rPh>
    <rPh sb="5" eb="7">
      <t>ショトク</t>
    </rPh>
    <rPh sb="7" eb="8">
      <t>ワ</t>
    </rPh>
    <rPh sb="8" eb="11">
      <t>コウフキン</t>
    </rPh>
    <phoneticPr fontId="6"/>
  </si>
  <si>
    <t>rank</t>
    <phoneticPr fontId="6"/>
  </si>
  <si>
    <t>依　　存　　財　　源</t>
    <rPh sb="0" eb="1">
      <t>ヤスシ</t>
    </rPh>
    <rPh sb="3" eb="4">
      <t>ゾン</t>
    </rPh>
    <rPh sb="6" eb="7">
      <t>ザイ</t>
    </rPh>
    <rPh sb="9" eb="10">
      <t>ミナモト</t>
    </rPh>
    <phoneticPr fontId="6"/>
  </si>
  <si>
    <t>後期高齢者医療</t>
    <rPh sb="0" eb="2">
      <t>コウキ</t>
    </rPh>
    <rPh sb="2" eb="5">
      <t>コウレイシャ</t>
    </rPh>
    <rPh sb="5" eb="7">
      <t>イリョウ</t>
    </rPh>
    <phoneticPr fontId="6"/>
  </si>
  <si>
    <t>区分</t>
    <rPh sb="0" eb="2">
      <t>クブン</t>
    </rPh>
    <phoneticPr fontId="6"/>
  </si>
  <si>
    <t>皆減</t>
    <rPh sb="0" eb="1">
      <t>ミナ</t>
    </rPh>
    <rPh sb="1" eb="2">
      <t>ゲン</t>
    </rPh>
    <phoneticPr fontId="6"/>
  </si>
  <si>
    <t>事　　　　　　　　項</t>
    <phoneticPr fontId="6"/>
  </si>
  <si>
    <t>期　　　　　　　間</t>
    <phoneticPr fontId="6"/>
  </si>
  <si>
    <t>限　 度　 額</t>
    <phoneticPr fontId="6"/>
  </si>
  <si>
    <t>千円</t>
    <rPh sb="0" eb="2">
      <t>センエン</t>
    </rPh>
    <phoneticPr fontId="6"/>
  </si>
  <si>
    <t>債　務　負　担　行　為</t>
    <rPh sb="0" eb="1">
      <t>サイ</t>
    </rPh>
    <rPh sb="2" eb="3">
      <t>ツトム</t>
    </rPh>
    <rPh sb="4" eb="5">
      <t>フ</t>
    </rPh>
    <rPh sb="6" eb="7">
      <t>ニナ</t>
    </rPh>
    <rPh sb="8" eb="9">
      <t>コウ</t>
    </rPh>
    <rPh sb="10" eb="11">
      <t>タメ</t>
    </rPh>
    <phoneticPr fontId="6"/>
  </si>
  <si>
    <t>起  債  の  目  的</t>
    <rPh sb="0" eb="4">
      <t>キサイ</t>
    </rPh>
    <rPh sb="9" eb="13">
      <t>モクテキ</t>
    </rPh>
    <phoneticPr fontId="6"/>
  </si>
  <si>
    <t>限  度  額</t>
    <rPh sb="0" eb="7">
      <t>ゲンドガク</t>
    </rPh>
    <phoneticPr fontId="6"/>
  </si>
  <si>
    <t>起債の方法</t>
    <rPh sb="0" eb="2">
      <t>キサイ</t>
    </rPh>
    <rPh sb="3" eb="5">
      <t>ホウホウ</t>
    </rPh>
    <phoneticPr fontId="6"/>
  </si>
  <si>
    <t xml:space="preserve">  利     率</t>
    <rPh sb="2" eb="9">
      <t>リリツ</t>
    </rPh>
    <phoneticPr fontId="6"/>
  </si>
  <si>
    <t xml:space="preserve"> 償  還  の  方  法</t>
    <rPh sb="1" eb="5">
      <t>ショウカン</t>
    </rPh>
    <rPh sb="10" eb="14">
      <t>ホウホウ</t>
    </rPh>
    <phoneticPr fontId="6"/>
  </si>
  <si>
    <t xml:space="preserve"> 普通貸借又は
 証券発行</t>
    <rPh sb="1" eb="3">
      <t>フツウ</t>
    </rPh>
    <rPh sb="3" eb="5">
      <t>タイシャク</t>
    </rPh>
    <rPh sb="5" eb="6">
      <t>マタ</t>
    </rPh>
    <rPh sb="9" eb="11">
      <t>ショウケン</t>
    </rPh>
    <rPh sb="11" eb="13">
      <t>ハッコウ</t>
    </rPh>
    <phoneticPr fontId="6"/>
  </si>
  <si>
    <t>4.0％以内
（ただし、利率見直し方式で借り入れる資金について利率の見直しを行った後においては、当該見直し後の利率）</t>
    <rPh sb="4" eb="6">
      <t>イナイ</t>
    </rPh>
    <rPh sb="12" eb="14">
      <t>リリツ</t>
    </rPh>
    <rPh sb="14" eb="16">
      <t>ミナオ</t>
    </rPh>
    <rPh sb="17" eb="19">
      <t>ホウシキ</t>
    </rPh>
    <rPh sb="20" eb="23">
      <t>カリイ</t>
    </rPh>
    <rPh sb="25" eb="27">
      <t>シキン</t>
    </rPh>
    <rPh sb="31" eb="33">
      <t>リリツ</t>
    </rPh>
    <rPh sb="34" eb="36">
      <t>ミナオ</t>
    </rPh>
    <rPh sb="38" eb="39">
      <t>オコナ</t>
    </rPh>
    <rPh sb="41" eb="42">
      <t>アト</t>
    </rPh>
    <rPh sb="48" eb="50">
      <t>トウガイ</t>
    </rPh>
    <rPh sb="50" eb="52">
      <t>ミナオ</t>
    </rPh>
    <rPh sb="53" eb="54">
      <t>ゴ</t>
    </rPh>
    <rPh sb="55" eb="57">
      <t>リリツ</t>
    </rPh>
    <phoneticPr fontId="6"/>
  </si>
  <si>
    <t>一般会計当初予算</t>
    <rPh sb="0" eb="2">
      <t>イッパン</t>
    </rPh>
    <rPh sb="2" eb="4">
      <t>カイケイ</t>
    </rPh>
    <rPh sb="4" eb="6">
      <t>トウショ</t>
    </rPh>
    <rPh sb="6" eb="8">
      <t>ヨサン</t>
    </rPh>
    <phoneticPr fontId="6"/>
  </si>
  <si>
    <t>1　歳入</t>
    <rPh sb="2" eb="4">
      <t>サイニュウ</t>
    </rPh>
    <phoneticPr fontId="6"/>
  </si>
  <si>
    <t>伸び率</t>
    <rPh sb="0" eb="1">
      <t>ノ</t>
    </rPh>
    <rPh sb="2" eb="3">
      <t>リツ</t>
    </rPh>
    <phoneticPr fontId="6"/>
  </si>
  <si>
    <t>歳入合計</t>
    <rPh sb="0" eb="2">
      <t>サイニュウ</t>
    </rPh>
    <rPh sb="2" eb="4">
      <t>ゴウケイ</t>
    </rPh>
    <phoneticPr fontId="6"/>
  </si>
  <si>
    <t>議会費</t>
  </si>
  <si>
    <t>総務費</t>
  </si>
  <si>
    <t>民生費</t>
  </si>
  <si>
    <t>衛生費</t>
  </si>
  <si>
    <t>労働費</t>
  </si>
  <si>
    <t>農林水産業費</t>
  </si>
  <si>
    <t>商工費</t>
  </si>
  <si>
    <t>土木費</t>
  </si>
  <si>
    <t>消防費</t>
  </si>
  <si>
    <t>教育費</t>
  </si>
  <si>
    <t>公債費</t>
  </si>
  <si>
    <t>災害復旧費</t>
  </si>
  <si>
    <t>諸支出金</t>
  </si>
  <si>
    <t>予備費</t>
  </si>
  <si>
    <t>自主財源と依存財源</t>
    <rPh sb="0" eb="2">
      <t>ジシュ</t>
    </rPh>
    <rPh sb="2" eb="4">
      <t>ザイゲン</t>
    </rPh>
    <rPh sb="5" eb="7">
      <t>イゾン</t>
    </rPh>
    <rPh sb="7" eb="9">
      <t>ザイゲン</t>
    </rPh>
    <phoneticPr fontId="6"/>
  </si>
  <si>
    <t>自主財源</t>
    <rPh sb="0" eb="1">
      <t>ジ</t>
    </rPh>
    <rPh sb="1" eb="2">
      <t>シュ</t>
    </rPh>
    <rPh sb="2" eb="3">
      <t>ザイ</t>
    </rPh>
    <rPh sb="3" eb="4">
      <t>ミナモト</t>
    </rPh>
    <phoneticPr fontId="4"/>
  </si>
  <si>
    <t>その他自主財源</t>
    <rPh sb="2" eb="3">
      <t>タ</t>
    </rPh>
    <rPh sb="3" eb="5">
      <t>ジシュ</t>
    </rPh>
    <rPh sb="5" eb="7">
      <t>ザイゲン</t>
    </rPh>
    <phoneticPr fontId="6"/>
  </si>
  <si>
    <t>依存財源</t>
    <rPh sb="0" eb="1">
      <t>ヤスシ</t>
    </rPh>
    <rPh sb="1" eb="2">
      <t>ゾン</t>
    </rPh>
    <rPh sb="2" eb="3">
      <t>ザイ</t>
    </rPh>
    <rPh sb="3" eb="4">
      <t>ミナモト</t>
    </rPh>
    <phoneticPr fontId="6"/>
  </si>
  <si>
    <t>その他依存財源</t>
    <rPh sb="2" eb="3">
      <t>タ</t>
    </rPh>
    <rPh sb="3" eb="5">
      <t>イゾン</t>
    </rPh>
    <rPh sb="5" eb="7">
      <t>ザイゲン</t>
    </rPh>
    <phoneticPr fontId="6"/>
  </si>
  <si>
    <t>歳　出　[性質別]</t>
    <rPh sb="0" eb="1">
      <t>トシ</t>
    </rPh>
    <rPh sb="2" eb="3">
      <t>デ</t>
    </rPh>
    <rPh sb="5" eb="7">
      <t>セイシツ</t>
    </rPh>
    <rPh sb="7" eb="8">
      <t>ベツ</t>
    </rPh>
    <phoneticPr fontId="6"/>
  </si>
  <si>
    <t>区　　分</t>
    <rPh sb="0" eb="1">
      <t>ク</t>
    </rPh>
    <rPh sb="3" eb="4">
      <t>ブン</t>
    </rPh>
    <phoneticPr fontId="6"/>
  </si>
  <si>
    <t>普通建設事業費</t>
  </si>
  <si>
    <t>一般会計歳入予算款別内訳</t>
  </si>
  <si>
    <t>一般会計歳出予算の目的別内訳</t>
    <rPh sb="0" eb="2">
      <t>イッパン</t>
    </rPh>
    <rPh sb="2" eb="4">
      <t>カイケイ</t>
    </rPh>
    <rPh sb="4" eb="6">
      <t>サイシュツ</t>
    </rPh>
    <rPh sb="6" eb="8">
      <t>ヨサン</t>
    </rPh>
    <rPh sb="9" eb="11">
      <t>モクテキ</t>
    </rPh>
    <rPh sb="11" eb="12">
      <t>ベツ</t>
    </rPh>
    <rPh sb="12" eb="14">
      <t>ウチワケ</t>
    </rPh>
    <phoneticPr fontId="6"/>
  </si>
  <si>
    <t>一般会計歳出予算の性質別内訳</t>
    <rPh sb="0" eb="2">
      <t>イッパン</t>
    </rPh>
    <rPh sb="2" eb="4">
      <t>カイケイ</t>
    </rPh>
    <rPh sb="4" eb="6">
      <t>サイシュツ</t>
    </rPh>
    <rPh sb="6" eb="8">
      <t>ヨサン</t>
    </rPh>
    <rPh sb="9" eb="11">
      <t>セイシツ</t>
    </rPh>
    <rPh sb="11" eb="12">
      <t>ベツ</t>
    </rPh>
    <rPh sb="12" eb="14">
      <t>ウチワケ</t>
    </rPh>
    <phoneticPr fontId="6"/>
  </si>
  <si>
    <t>【投資的経費】</t>
    <rPh sb="1" eb="4">
      <t>トウシテキ</t>
    </rPh>
    <rPh sb="4" eb="6">
      <t>ケイヒ</t>
    </rPh>
    <phoneticPr fontId="6"/>
  </si>
  <si>
    <t>一般会計歳入予算の財源別内訳</t>
    <rPh sb="0" eb="2">
      <t>イッパン</t>
    </rPh>
    <rPh sb="2" eb="4">
      <t>カイケイ</t>
    </rPh>
    <rPh sb="4" eb="6">
      <t>サイニュウ</t>
    </rPh>
    <rPh sb="6" eb="8">
      <t>ヨサン</t>
    </rPh>
    <rPh sb="9" eb="11">
      <t>ザイゲン</t>
    </rPh>
    <rPh sb="11" eb="12">
      <t>ベツ</t>
    </rPh>
    <rPh sb="12" eb="14">
      <t>ウチワケ</t>
    </rPh>
    <phoneticPr fontId="6"/>
  </si>
  <si>
    <t>(</t>
  </si>
  <si>
    <t>%)</t>
  </si>
  <si>
    <t>歳　出［目的別］</t>
    <phoneticPr fontId="6"/>
  </si>
  <si>
    <t>歳出合計</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</si>
  <si>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</si>
  <si>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</si>
  <si>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</si>
  <si>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</si>
  <si>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</si>
  <si>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</si>
  <si>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</si>
  <si>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</si>
  <si>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</si>
  <si>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</si>
  <si>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</si>
  <si>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</si>
  <si>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（見込み）</t>
    <rPh sb="1" eb="3">
      <t>ミコ</t>
    </rPh>
    <phoneticPr fontId="6"/>
  </si>
  <si>
    <t>臨時財政対策債</t>
    <rPh sb="0" eb="2">
      <t>リンジ</t>
    </rPh>
    <rPh sb="2" eb="4">
      <t>ザイセイ</t>
    </rPh>
    <rPh sb="4" eb="6">
      <t>タイサク</t>
    </rPh>
    <rPh sb="6" eb="7">
      <t>サイ</t>
    </rPh>
    <phoneticPr fontId="6"/>
  </si>
  <si>
    <t>臨時税収補てん債</t>
    <rPh sb="0" eb="2">
      <t>リンジ</t>
    </rPh>
    <rPh sb="2" eb="4">
      <t>ゼイシュウ</t>
    </rPh>
    <rPh sb="4" eb="5">
      <t>ホ</t>
    </rPh>
    <rPh sb="7" eb="8">
      <t>サイ</t>
    </rPh>
    <phoneticPr fontId="6"/>
  </si>
  <si>
    <t>減税補てん債</t>
    <rPh sb="0" eb="2">
      <t>ゲンゼイ</t>
    </rPh>
    <rPh sb="2" eb="3">
      <t>ホ</t>
    </rPh>
    <rPh sb="5" eb="6">
      <t>サイ</t>
    </rPh>
    <phoneticPr fontId="6"/>
  </si>
  <si>
    <t>通常債</t>
    <rPh sb="0" eb="2">
      <t>ツウジョウ</t>
    </rPh>
    <rPh sb="2" eb="3">
      <t>サイ</t>
    </rPh>
    <phoneticPr fontId="6"/>
  </si>
  <si>
    <t>合計</t>
    <rPh sb="0" eb="2">
      <t>ゴウケイ</t>
    </rPh>
    <phoneticPr fontId="6"/>
  </si>
  <si>
    <t>区画整理</t>
    <rPh sb="0" eb="2">
      <t>クカク</t>
    </rPh>
    <rPh sb="2" eb="4">
      <t>セイリ</t>
    </rPh>
    <phoneticPr fontId="6"/>
  </si>
  <si>
    <t>公共用地</t>
    <rPh sb="0" eb="2">
      <t>コウキョウ</t>
    </rPh>
    <rPh sb="2" eb="4">
      <t>ヨウチ</t>
    </rPh>
    <phoneticPr fontId="6"/>
  </si>
  <si>
    <t>公共下水</t>
    <rPh sb="0" eb="2">
      <t>コウキョウ</t>
    </rPh>
    <rPh sb="2" eb="4">
      <t>ゲスイ</t>
    </rPh>
    <phoneticPr fontId="6"/>
  </si>
  <si>
    <t>地方債現在高の推移</t>
    <rPh sb="0" eb="3">
      <t>チホウサイ</t>
    </rPh>
    <rPh sb="3" eb="5">
      <t>ゲンザイ</t>
    </rPh>
    <rPh sb="5" eb="6">
      <t>ダカ</t>
    </rPh>
    <rPh sb="7" eb="9">
      <t>スイイ</t>
    </rPh>
    <phoneticPr fontId="6"/>
  </si>
  <si>
    <t>単位：千円</t>
    <rPh sb="0" eb="2">
      <t>タンイ</t>
    </rPh>
    <rPh sb="3" eb="5">
      <t>センエン</t>
    </rPh>
    <phoneticPr fontId="6"/>
  </si>
  <si>
    <t>※繰出金</t>
  </si>
  <si>
    <t>　国保</t>
    <phoneticPr fontId="4"/>
  </si>
  <si>
    <t>　介護</t>
    <phoneticPr fontId="4"/>
  </si>
  <si>
    <t>　後期</t>
    <phoneticPr fontId="4"/>
  </si>
  <si>
    <t>　東越谷</t>
    <phoneticPr fontId="4"/>
  </si>
  <si>
    <t>　西大袋</t>
    <phoneticPr fontId="4"/>
  </si>
  <si>
    <t>事業名</t>
    <rPh sb="0" eb="2">
      <t>ジギョウ</t>
    </rPh>
    <rPh sb="2" eb="3">
      <t>メイ</t>
    </rPh>
    <phoneticPr fontId="6"/>
  </si>
  <si>
    <t>地方特例交付金</t>
    <phoneticPr fontId="6"/>
  </si>
  <si>
    <t>自動車取得税交付金</t>
    <phoneticPr fontId="6"/>
  </si>
  <si>
    <t>　用地</t>
    <rPh sb="1" eb="3">
      <t>ヨウチ</t>
    </rPh>
    <phoneticPr fontId="4"/>
  </si>
  <si>
    <t>道路整備事業</t>
  </si>
  <si>
    <t>消防施設整備事業</t>
  </si>
  <si>
    <t>地　方　債</t>
    <rPh sb="0" eb="1">
      <t>チ</t>
    </rPh>
    <rPh sb="2" eb="3">
      <t>カタ</t>
    </rPh>
    <rPh sb="4" eb="5">
      <t>サイ</t>
    </rPh>
    <phoneticPr fontId="6"/>
  </si>
  <si>
    <t>諸収入</t>
    <rPh sb="0" eb="1">
      <t>ショ</t>
    </rPh>
    <rPh sb="1" eb="3">
      <t>シュウニュウ</t>
    </rPh>
    <phoneticPr fontId="6"/>
  </si>
  <si>
    <t>排水路整備事業</t>
  </si>
  <si>
    <t>rank</t>
    <phoneticPr fontId="6"/>
  </si>
  <si>
    <t>rank</t>
    <phoneticPr fontId="6"/>
  </si>
  <si>
    <t>補助費等</t>
    <rPh sb="0" eb="2">
      <t>ホジョ</t>
    </rPh>
    <rPh sb="2" eb="3">
      <t>ヒ</t>
    </rPh>
    <rPh sb="3" eb="4">
      <t>トウ</t>
    </rPh>
    <phoneticPr fontId="6"/>
  </si>
  <si>
    <t>母子父子寡婦</t>
    <rPh sb="0" eb="2">
      <t>ボシ</t>
    </rPh>
    <rPh sb="2" eb="4">
      <t>フシ</t>
    </rPh>
    <rPh sb="4" eb="6">
      <t>カフ</t>
    </rPh>
    <phoneticPr fontId="4"/>
  </si>
  <si>
    <t>福祉資金</t>
    <rPh sb="0" eb="2">
      <t>フクシ</t>
    </rPh>
    <rPh sb="2" eb="4">
      <t>シキン</t>
    </rPh>
    <phoneticPr fontId="6"/>
  </si>
  <si>
    <t>母子父子寡婦福祉資金貸付金</t>
    <rPh sb="0" eb="2">
      <t>ボシ</t>
    </rPh>
    <rPh sb="2" eb="4">
      <t>フシ</t>
    </rPh>
    <rPh sb="4" eb="6">
      <t>カフ</t>
    </rPh>
    <rPh sb="6" eb="8">
      <t>フクシ</t>
    </rPh>
    <rPh sb="8" eb="10">
      <t>シキン</t>
    </rPh>
    <rPh sb="10" eb="12">
      <t>カシツケ</t>
    </rPh>
    <rPh sb="12" eb="13">
      <t>キン</t>
    </rPh>
    <phoneticPr fontId="6"/>
  </si>
  <si>
    <t>コメント入力済み</t>
    <rPh sb="4" eb="6">
      <t>ニュウリョク</t>
    </rPh>
    <rPh sb="6" eb="7">
      <t>ズ</t>
    </rPh>
    <phoneticPr fontId="6"/>
  </si>
  <si>
    <t>コメント色
赤字</t>
    <rPh sb="4" eb="5">
      <t>イロ</t>
    </rPh>
    <rPh sb="6" eb="8">
      <t>アカジ</t>
    </rPh>
    <phoneticPr fontId="4"/>
  </si>
  <si>
    <t>使用料及び手数料</t>
    <phoneticPr fontId="6"/>
  </si>
  <si>
    <t>分担金及び負担金</t>
    <phoneticPr fontId="6"/>
  </si>
  <si>
    <t>維持補修費</t>
    <rPh sb="0" eb="2">
      <t>イジ</t>
    </rPh>
    <rPh sb="2" eb="4">
      <t>ホシュウ</t>
    </rPh>
    <rPh sb="4" eb="5">
      <t>ヒ</t>
    </rPh>
    <phoneticPr fontId="6"/>
  </si>
  <si>
    <t>貸付金</t>
    <rPh sb="0" eb="2">
      <t>カシツケ</t>
    </rPh>
    <rPh sb="2" eb="3">
      <t>キン</t>
    </rPh>
    <phoneticPr fontId="6"/>
  </si>
  <si>
    <t>繰越金</t>
    <rPh sb="0" eb="2">
      <t>クリコシ</t>
    </rPh>
    <rPh sb="2" eb="3">
      <t>キン</t>
    </rPh>
    <phoneticPr fontId="6"/>
  </si>
  <si>
    <t>本庁舎建設事業</t>
    <rPh sb="0" eb="2">
      <t>ホンチョウ</t>
    </rPh>
    <rPh sb="2" eb="3">
      <t>シャ</t>
    </rPh>
    <rPh sb="3" eb="5">
      <t>ケンセツ</t>
    </rPh>
    <rPh sb="5" eb="7">
      <t>ジギョウ</t>
    </rPh>
    <phoneticPr fontId="4"/>
  </si>
  <si>
    <t>環境性能割交付金</t>
    <rPh sb="0" eb="2">
      <t>カンキョウ</t>
    </rPh>
    <rPh sb="2" eb="4">
      <t>セイノウ</t>
    </rPh>
    <rPh sb="4" eb="5">
      <t>ワリ</t>
    </rPh>
    <rPh sb="5" eb="8">
      <t>コウフキン</t>
    </rPh>
    <phoneticPr fontId="4"/>
  </si>
  <si>
    <t>環境性能割交付金</t>
    <phoneticPr fontId="6"/>
  </si>
  <si>
    <t>環境性能割交付金</t>
    <phoneticPr fontId="6"/>
  </si>
  <si>
    <t>年度</t>
    <rPh sb="0" eb="2">
      <t>ネンド</t>
    </rPh>
    <phoneticPr fontId="6"/>
  </si>
  <si>
    <t>政府資金についてはその融資条件により、銀行その他の場合にはその債権者と協定する事項による。ただし、市財政その他の都合により据置期間及び償還期限を短縮し、もしくは繰上償還又は低利に借り換えることができる。</t>
    <rPh sb="0" eb="2">
      <t>セイフ</t>
    </rPh>
    <rPh sb="2" eb="4">
      <t>シキン</t>
    </rPh>
    <rPh sb="11" eb="13">
      <t>ユウシ</t>
    </rPh>
    <rPh sb="13" eb="15">
      <t>ジョウケン</t>
    </rPh>
    <rPh sb="19" eb="21">
      <t>ギンコウ</t>
    </rPh>
    <rPh sb="21" eb="24">
      <t>ソノタ</t>
    </rPh>
    <rPh sb="25" eb="27">
      <t>バアイ</t>
    </rPh>
    <rPh sb="31" eb="34">
      <t>サイケンシャ</t>
    </rPh>
    <rPh sb="35" eb="37">
      <t>キョウテイ</t>
    </rPh>
    <rPh sb="39" eb="41">
      <t>ジコウ</t>
    </rPh>
    <rPh sb="49" eb="50">
      <t>シ</t>
    </rPh>
    <rPh sb="50" eb="52">
      <t>ザイセイ</t>
    </rPh>
    <rPh sb="52" eb="55">
      <t>ソノタ</t>
    </rPh>
    <rPh sb="56" eb="58">
      <t>ツゴウ</t>
    </rPh>
    <rPh sb="61" eb="63">
      <t>スエオキ</t>
    </rPh>
    <rPh sb="63" eb="65">
      <t>キカン</t>
    </rPh>
    <rPh sb="65" eb="66">
      <t>オヨ</t>
    </rPh>
    <rPh sb="67" eb="69">
      <t>ショウカン</t>
    </rPh>
    <rPh sb="69" eb="71">
      <t>キゲン</t>
    </rPh>
    <rPh sb="72" eb="74">
      <t>タンシュク</t>
    </rPh>
    <rPh sb="80" eb="82">
      <t>クリアゲ</t>
    </rPh>
    <rPh sb="82" eb="84">
      <t>ショウカン</t>
    </rPh>
    <rPh sb="84" eb="85">
      <t>マタ</t>
    </rPh>
    <rPh sb="86" eb="88">
      <t>テイリ</t>
    </rPh>
    <phoneticPr fontId="6"/>
  </si>
  <si>
    <t>-</t>
  </si>
  <si>
    <t>公共下水道事業会計</t>
    <rPh sb="0" eb="2">
      <t>コウキョウ</t>
    </rPh>
    <rPh sb="2" eb="5">
      <t>ゲスイドウ</t>
    </rPh>
    <rPh sb="5" eb="7">
      <t>ジギョウ</t>
    </rPh>
    <rPh sb="7" eb="9">
      <t>カイケイ</t>
    </rPh>
    <phoneticPr fontId="6"/>
  </si>
  <si>
    <t>法人事業税交付金</t>
    <rPh sb="0" eb="2">
      <t>ホウジン</t>
    </rPh>
    <rPh sb="2" eb="5">
      <t>ジギョウゼイ</t>
    </rPh>
    <rPh sb="5" eb="8">
      <t>コウフキン</t>
    </rPh>
    <phoneticPr fontId="6"/>
  </si>
  <si>
    <t>法人事業税交付金</t>
    <rPh sb="0" eb="2">
      <t>ホウジン</t>
    </rPh>
    <rPh sb="2" eb="5">
      <t>ジギョウゼイ</t>
    </rPh>
    <rPh sb="5" eb="8">
      <t>コウフキン</t>
    </rPh>
    <phoneticPr fontId="6"/>
  </si>
  <si>
    <t>令和2年度</t>
  </si>
  <si>
    <t>地区センター・公民館整備事業</t>
  </si>
  <si>
    <t>-</t>
    <phoneticPr fontId="6"/>
  </si>
  <si>
    <t>コメント
修正したら青字から赤字に</t>
    <rPh sb="5" eb="7">
      <t>シュウセイ</t>
    </rPh>
    <rPh sb="10" eb="12">
      <t>アオジ</t>
    </rPh>
    <rPh sb="14" eb="16">
      <t>アカジ</t>
    </rPh>
    <phoneticPr fontId="4"/>
  </si>
  <si>
    <t>構成比</t>
  </si>
  <si>
    <t>減収補てん債</t>
    <rPh sb="0" eb="2">
      <t>ゲンシュウ</t>
    </rPh>
    <rPh sb="2" eb="3">
      <t>ホ</t>
    </rPh>
    <rPh sb="5" eb="6">
      <t>サイ</t>
    </rPh>
    <phoneticPr fontId="6"/>
  </si>
  <si>
    <t>特別減収対策債</t>
    <rPh sb="0" eb="4">
      <t>トクベツゲンシュウ</t>
    </rPh>
    <rPh sb="4" eb="6">
      <t>タイサク</t>
    </rPh>
    <rPh sb="6" eb="7">
      <t>サイ</t>
    </rPh>
    <phoneticPr fontId="6"/>
  </si>
  <si>
    <t>単位（千円）</t>
    <rPh sb="0" eb="2">
      <t>タンイ</t>
    </rPh>
    <rPh sb="3" eb="5">
      <t>センエン</t>
    </rPh>
    <phoneticPr fontId="6"/>
  </si>
  <si>
    <t>当初予算書　地方債に関する調書</t>
    <rPh sb="0" eb="2">
      <t>トウショ</t>
    </rPh>
    <rPh sb="2" eb="5">
      <t>ヨサンショ</t>
    </rPh>
    <rPh sb="6" eb="9">
      <t>チホウサイ</t>
    </rPh>
    <rPh sb="10" eb="11">
      <t>カン</t>
    </rPh>
    <rPh sb="13" eb="15">
      <t>チョウショ</t>
    </rPh>
    <phoneticPr fontId="6"/>
  </si>
  <si>
    <t>H28</t>
    <phoneticPr fontId="6"/>
  </si>
  <si>
    <t>H29</t>
    <phoneticPr fontId="6"/>
  </si>
  <si>
    <t>H30</t>
    <phoneticPr fontId="6"/>
  </si>
  <si>
    <t>R1</t>
    <phoneticPr fontId="6"/>
  </si>
  <si>
    <t>R2</t>
    <phoneticPr fontId="6"/>
  </si>
  <si>
    <t>予算額（億円）</t>
    <rPh sb="0" eb="3">
      <t>ヨサンガク</t>
    </rPh>
    <rPh sb="4" eb="6">
      <t>オクエン</t>
    </rPh>
    <phoneticPr fontId="6"/>
  </si>
  <si>
    <t>対前年度伸び率（％）</t>
    <rPh sb="0" eb="1">
      <t>タイ</t>
    </rPh>
    <rPh sb="1" eb="4">
      <t>ゼンネンド</t>
    </rPh>
    <rPh sb="4" eb="5">
      <t>ノ</t>
    </rPh>
    <rPh sb="6" eb="7">
      <t>リツ</t>
    </rPh>
    <phoneticPr fontId="6"/>
  </si>
  <si>
    <t>▲1.7</t>
    <phoneticPr fontId="6"/>
  </si>
  <si>
    <t>《一般会計の推移》</t>
    <rPh sb="1" eb="3">
      <t>イッパン</t>
    </rPh>
    <rPh sb="3" eb="5">
      <t>カイケイ</t>
    </rPh>
    <rPh sb="6" eb="8">
      <t>スイイ</t>
    </rPh>
    <phoneticPr fontId="6"/>
  </si>
  <si>
    <t>※　公共下水道事業費特別会計は、令和２年度より、地方公営企業法の一部適用（財務適用）となったため、公営企業会計へ移行しました。</t>
    <rPh sb="2" eb="4">
      <t>コウキョウ</t>
    </rPh>
    <rPh sb="4" eb="7">
      <t>ゲスイドウ</t>
    </rPh>
    <rPh sb="7" eb="10">
      <t>ジギョウヒ</t>
    </rPh>
    <rPh sb="10" eb="12">
      <t>トクベツ</t>
    </rPh>
    <rPh sb="12" eb="14">
      <t>カイケイ</t>
    </rPh>
    <rPh sb="16" eb="18">
      <t>レイワ</t>
    </rPh>
    <rPh sb="19" eb="21">
      <t>ネンド</t>
    </rPh>
    <rPh sb="24" eb="26">
      <t>チホウ</t>
    </rPh>
    <rPh sb="26" eb="28">
      <t>コウエイ</t>
    </rPh>
    <rPh sb="28" eb="30">
      <t>キギョウ</t>
    </rPh>
    <rPh sb="30" eb="31">
      <t>ホウ</t>
    </rPh>
    <rPh sb="32" eb="34">
      <t>イチブ</t>
    </rPh>
    <rPh sb="34" eb="36">
      <t>テキヨウ</t>
    </rPh>
    <rPh sb="37" eb="39">
      <t>ザイム</t>
    </rPh>
    <rPh sb="39" eb="41">
      <t>テキヨウ</t>
    </rPh>
    <rPh sb="49" eb="51">
      <t>コウエイ</t>
    </rPh>
    <rPh sb="51" eb="53">
      <t>キギョウ</t>
    </rPh>
    <rPh sb="53" eb="55">
      <t>カイケイ</t>
    </rPh>
    <rPh sb="56" eb="58">
      <t>イコウ</t>
    </rPh>
    <phoneticPr fontId="6"/>
  </si>
  <si>
    <t>R3</t>
    <phoneticPr fontId="6"/>
  </si>
  <si>
    <t>令和3年度</t>
  </si>
  <si>
    <t>令和元年度</t>
  </si>
  <si>
    <t>平成30年度</t>
  </si>
  <si>
    <t>平成28年度</t>
  </si>
  <si>
    <t>平成27年度</t>
  </si>
  <si>
    <t>平成26年度</t>
  </si>
  <si>
    <t>令和4年度</t>
    <rPh sb="0" eb="2">
      <t>レイワ</t>
    </rPh>
    <rPh sb="3" eb="5">
      <t>ネンド</t>
    </rPh>
    <phoneticPr fontId="6"/>
  </si>
  <si>
    <t>令和3年度</t>
    <phoneticPr fontId="6"/>
  </si>
  <si>
    <t>市民会館整備事業</t>
  </si>
  <si>
    <t>交流館整備事業</t>
  </si>
  <si>
    <t>老人福祉施設整備事業</t>
  </si>
  <si>
    <t>農道整備事業</t>
  </si>
  <si>
    <t>かんがい排水整備事業</t>
  </si>
  <si>
    <t>学校施設整備事業</t>
  </si>
  <si>
    <t>給食センター整備事業</t>
  </si>
  <si>
    <t>体育施設整備事業</t>
  </si>
  <si>
    <t>Ａ-Ｂ</t>
    <phoneticPr fontId="6"/>
  </si>
  <si>
    <t>庁舎整備事業</t>
  </si>
  <si>
    <t>日本文化伝承の館整備事業</t>
  </si>
  <si>
    <t>河川整備事業</t>
    <rPh sb="0" eb="2">
      <t>カセン</t>
    </rPh>
    <rPh sb="2" eb="4">
      <t>セイビ</t>
    </rPh>
    <rPh sb="4" eb="6">
      <t>ジギョウ</t>
    </rPh>
    <phoneticPr fontId="1"/>
  </si>
  <si>
    <t>街路整備事業</t>
    <rPh sb="0" eb="2">
      <t>ガイロ</t>
    </rPh>
    <rPh sb="2" eb="4">
      <t>セイビ</t>
    </rPh>
    <rPh sb="4" eb="6">
      <t>ジギョウ</t>
    </rPh>
    <phoneticPr fontId="1"/>
  </si>
  <si>
    <t>公園整備事業</t>
    <rPh sb="0" eb="2">
      <t>コウエン</t>
    </rPh>
    <phoneticPr fontId="1"/>
  </si>
  <si>
    <t>起  債  の  目  的</t>
    <rPh sb="0" eb="4">
      <t>キサイ</t>
    </rPh>
    <rPh sb="9" eb="13">
      <t>モクテキ</t>
    </rPh>
    <phoneticPr fontId="1"/>
  </si>
  <si>
    <t>限  度  額</t>
    <rPh sb="0" eb="7">
      <t>ゲンドガク</t>
    </rPh>
    <phoneticPr fontId="1"/>
  </si>
  <si>
    <t>千円</t>
    <rPh sb="0" eb="2">
      <t>センエン</t>
    </rPh>
    <phoneticPr fontId="1"/>
  </si>
  <si>
    <t>R5当初</t>
    <phoneticPr fontId="4"/>
  </si>
  <si>
    <t>共同消防指令センター整備事業</t>
    <rPh sb="0" eb="2">
      <t>キョウドウ</t>
    </rPh>
    <rPh sb="2" eb="4">
      <t>ショウボウ</t>
    </rPh>
    <rPh sb="4" eb="6">
      <t>シレイ</t>
    </rPh>
    <rPh sb="10" eb="12">
      <t>セイビ</t>
    </rPh>
    <rPh sb="12" eb="14">
      <t>ジギョウ</t>
    </rPh>
    <phoneticPr fontId="4"/>
  </si>
  <si>
    <t>令和5年度</t>
    <rPh sb="0" eb="2">
      <t>レイワ</t>
    </rPh>
    <rPh sb="3" eb="5">
      <t>ネンド</t>
    </rPh>
    <phoneticPr fontId="6"/>
  </si>
  <si>
    <t>←端数調整用</t>
    <rPh sb="1" eb="3">
      <t>ハスウ</t>
    </rPh>
    <rPh sb="3" eb="5">
      <t>チョウセイ</t>
    </rPh>
    <rPh sb="5" eb="6">
      <t>ヨウ</t>
    </rPh>
    <phoneticPr fontId="6"/>
  </si>
  <si>
    <t>R4</t>
    <phoneticPr fontId="6"/>
  </si>
  <si>
    <t>単位（千円）</t>
    <phoneticPr fontId="6"/>
  </si>
  <si>
    <t>令和６年度当初予算の主な増減となった事業</t>
    <rPh sb="0" eb="2">
      <t>レイワ</t>
    </rPh>
    <rPh sb="3" eb="4">
      <t>ネン</t>
    </rPh>
    <rPh sb="4" eb="5">
      <t>ド</t>
    </rPh>
    <rPh sb="5" eb="9">
      <t>トウショヨサン</t>
    </rPh>
    <rPh sb="10" eb="11">
      <t>オモ</t>
    </rPh>
    <rPh sb="12" eb="13">
      <t>ゾウ</t>
    </rPh>
    <rPh sb="13" eb="14">
      <t>ゲン</t>
    </rPh>
    <rPh sb="18" eb="20">
      <t>ジギョウ</t>
    </rPh>
    <phoneticPr fontId="6"/>
  </si>
  <si>
    <t>令和６年度当初予算額Ａ</t>
    <rPh sb="0" eb="2">
      <t>レイワ</t>
    </rPh>
    <rPh sb="3" eb="5">
      <t>ネンド</t>
    </rPh>
    <rPh sb="5" eb="9">
      <t>トウショヨサン</t>
    </rPh>
    <rPh sb="9" eb="10">
      <t>ガク</t>
    </rPh>
    <phoneticPr fontId="6"/>
  </si>
  <si>
    <t>令和５年度当初予算額Ｂ</t>
    <rPh sb="0" eb="2">
      <t>レイワ</t>
    </rPh>
    <rPh sb="3" eb="5">
      <t>ネンド</t>
    </rPh>
    <rPh sb="5" eb="9">
      <t>トウショヨサン</t>
    </rPh>
    <rPh sb="9" eb="10">
      <t>ガク</t>
    </rPh>
    <phoneticPr fontId="6"/>
  </si>
  <si>
    <t>◎令和6年度一般会計予算</t>
    <rPh sb="4" eb="6">
      <t>ネンド</t>
    </rPh>
    <rPh sb="6" eb="8">
      <t>イッパン</t>
    </rPh>
    <rPh sb="8" eb="10">
      <t>カイケイ</t>
    </rPh>
    <rPh sb="10" eb="12">
      <t>ヨサン</t>
    </rPh>
    <phoneticPr fontId="6"/>
  </si>
  <si>
    <t>保育所整備事業</t>
  </si>
  <si>
    <t>学童保育室整備事業</t>
    <rPh sb="0" eb="9">
      <t>ガクドウホイクシツセイビジギョウ</t>
    </rPh>
    <phoneticPr fontId="1"/>
  </si>
  <si>
    <t>農地耕作条件改善事業</t>
    <rPh sb="0" eb="2">
      <t>ノウチ</t>
    </rPh>
    <rPh sb="2" eb="4">
      <t>コウサク</t>
    </rPh>
    <rPh sb="4" eb="6">
      <t>ジョウケン</t>
    </rPh>
    <rPh sb="6" eb="8">
      <t>カイゼン</t>
    </rPh>
    <rPh sb="8" eb="10">
      <t>ジギョウ</t>
    </rPh>
    <phoneticPr fontId="1"/>
  </si>
  <si>
    <t>農業施設整備事業</t>
    <rPh sb="0" eb="8">
      <t>ノウギョウシセツセイビジギョウ</t>
    </rPh>
    <phoneticPr fontId="1"/>
  </si>
  <si>
    <t>新川都市下水路整備事業</t>
  </si>
  <si>
    <t>緑道整備事業</t>
    <rPh sb="0" eb="2">
      <t>リョクドウ</t>
    </rPh>
    <rPh sb="2" eb="4">
      <t>セイビ</t>
    </rPh>
    <phoneticPr fontId="1"/>
  </si>
  <si>
    <t>令和６年度臨時財政対策</t>
  </si>
  <si>
    <t>令和６年度臨時財政対策</t>
    <phoneticPr fontId="4"/>
  </si>
  <si>
    <t>児童館整備事業</t>
    <rPh sb="0" eb="7">
      <t>ジドウカンセイビジギョウ</t>
    </rPh>
    <phoneticPr fontId="4"/>
  </si>
  <si>
    <t>Ｈ27年度</t>
  </si>
  <si>
    <t>Ｈ28年度</t>
  </si>
  <si>
    <t>Ｈ29年度</t>
  </si>
  <si>
    <t>Ｈ30年度</t>
  </si>
  <si>
    <t>Ｒ１年度</t>
  </si>
  <si>
    <t>Ｒ２年度</t>
  </si>
  <si>
    <t>Ｒ３年度</t>
  </si>
  <si>
    <t>Ｒ４年度</t>
  </si>
  <si>
    <t>Ｒ５年度</t>
  </si>
  <si>
    <t>（見込み）</t>
  </si>
  <si>
    <t>Ｒ６年度</t>
    <rPh sb="2" eb="4">
      <t>ネンド</t>
    </rPh>
    <phoneticPr fontId="6"/>
  </si>
  <si>
    <t>R6当初</t>
    <phoneticPr fontId="4"/>
  </si>
  <si>
    <t>第二庁舎改修工事費</t>
  </si>
  <si>
    <t>令和６年度 ～ 令和７年度　</t>
  </si>
  <si>
    <t>公共施設マネジメント計画策定支援業務委託料</t>
  </si>
  <si>
    <t>総合振興計画策定支援業務委託料</t>
  </si>
  <si>
    <t>システム標準化業務委託料</t>
  </si>
  <si>
    <t>大袋地区センター・公民館整備事業</t>
  </si>
  <si>
    <t>課税支援システム電算委託料</t>
  </si>
  <si>
    <t>地域福祉計画策定支援業務委託料</t>
  </si>
  <si>
    <t>障がい者計画策定支援業務委託料</t>
  </si>
  <si>
    <t>荻島学童保育室建設工事費</t>
  </si>
  <si>
    <t>児童館施設設備修繕料</t>
  </si>
  <si>
    <t>土地改良施設維持管理適正化事業費負担金</t>
  </si>
  <si>
    <t>令和６年度 ～ 令和１０年度　</t>
  </si>
  <si>
    <t>排水機場施設改修工事費</t>
  </si>
  <si>
    <t>応急対策工事費</t>
  </si>
  <si>
    <t>ダンプトラック購入費</t>
  </si>
  <si>
    <t>消防指令システム整備工事費</t>
  </si>
  <si>
    <t>消防指令システム等保守管理委託料</t>
  </si>
  <si>
    <t>令和６年度 ～ 令和１２年度　</t>
  </si>
  <si>
    <t>共同消防指令センター外構等整備工事費</t>
  </si>
  <si>
    <t>教育システム電算委託料</t>
  </si>
  <si>
    <t>教育振興基本計画策定支援業務委託料</t>
  </si>
  <si>
    <t>災害予防対策事業</t>
    <rPh sb="0" eb="8">
      <t>サイガイヨボウタイサクジギョウ</t>
    </rPh>
    <phoneticPr fontId="4"/>
  </si>
  <si>
    <t>令和6年度</t>
    <rPh sb="0" eb="2">
      <t>レイワ</t>
    </rPh>
    <rPh sb="3" eb="5">
      <t>ネンド</t>
    </rPh>
    <phoneticPr fontId="6"/>
  </si>
  <si>
    <t>大袋地区センター・公民館整備事業</t>
    <rPh sb="0" eb="2">
      <t>オオブクロ</t>
    </rPh>
    <rPh sb="2" eb="4">
      <t>チク</t>
    </rPh>
    <rPh sb="9" eb="12">
      <t>コウミンカン</t>
    </rPh>
    <rPh sb="12" eb="14">
      <t>セイビ</t>
    </rPh>
    <rPh sb="14" eb="16">
      <t>ジギョウ</t>
    </rPh>
    <phoneticPr fontId="4"/>
  </si>
  <si>
    <t xml:space="preserve">令和６年度 ～ 令和７年度 </t>
    <phoneticPr fontId="4"/>
  </si>
  <si>
    <t>東埼玉資源環境組合負担金事業</t>
    <rPh sb="0" eb="1">
      <t>ヒガシ</t>
    </rPh>
    <rPh sb="1" eb="3">
      <t>サイタマ</t>
    </rPh>
    <rPh sb="3" eb="5">
      <t>シゲン</t>
    </rPh>
    <rPh sb="5" eb="7">
      <t>カンキョウ</t>
    </rPh>
    <rPh sb="7" eb="9">
      <t>クミアイ</t>
    </rPh>
    <rPh sb="9" eb="12">
      <t>フタンキン</t>
    </rPh>
    <rPh sb="12" eb="14">
      <t>ジギョウ</t>
    </rPh>
    <phoneticPr fontId="4"/>
  </si>
  <si>
    <t>病院事業会計負担金</t>
    <phoneticPr fontId="4"/>
  </si>
  <si>
    <t>新型コロナウイルスワクチン接種事業</t>
    <rPh sb="0" eb="2">
      <t>シンガタ</t>
    </rPh>
    <rPh sb="13" eb="15">
      <t>セッシュ</t>
    </rPh>
    <rPh sb="15" eb="17">
      <t>ジギョウ</t>
    </rPh>
    <phoneticPr fontId="6"/>
  </si>
  <si>
    <t>感染症対策事業</t>
    <rPh sb="0" eb="3">
      <t>カンセンショウ</t>
    </rPh>
    <rPh sb="3" eb="5">
      <t>タイサク</t>
    </rPh>
    <rPh sb="5" eb="7">
      <t>ジギョウ</t>
    </rPh>
    <phoneticPr fontId="4"/>
  </si>
  <si>
    <t>（仮称）緑の森公園保育所整備事業</t>
    <rPh sb="1" eb="3">
      <t>カショウ</t>
    </rPh>
    <rPh sb="4" eb="5">
      <t>ミドリ</t>
    </rPh>
    <rPh sb="6" eb="7">
      <t>モリ</t>
    </rPh>
    <rPh sb="7" eb="9">
      <t>コウエン</t>
    </rPh>
    <rPh sb="9" eb="11">
      <t>ホイク</t>
    </rPh>
    <rPh sb="11" eb="12">
      <t>ジョ</t>
    </rPh>
    <rPh sb="12" eb="14">
      <t>セイビ</t>
    </rPh>
    <rPh sb="14" eb="16">
      <t>ジギョウ</t>
    </rPh>
    <phoneticPr fontId="6"/>
  </si>
  <si>
    <t>R5</t>
    <phoneticPr fontId="6"/>
  </si>
  <si>
    <t>小学校屋内運動場空調設備設置事業</t>
    <rPh sb="0" eb="3">
      <t>ショウガッコウ</t>
    </rPh>
    <rPh sb="3" eb="5">
      <t>オクナイ</t>
    </rPh>
    <rPh sb="5" eb="8">
      <t>ウンドウジョウ</t>
    </rPh>
    <rPh sb="8" eb="10">
      <t>クウチョウ</t>
    </rPh>
    <rPh sb="10" eb="12">
      <t>セツビ</t>
    </rPh>
    <rPh sb="12" eb="14">
      <t>セッチ</t>
    </rPh>
    <rPh sb="14" eb="16">
      <t>ジギョウ</t>
    </rPh>
    <phoneticPr fontId="4"/>
  </si>
  <si>
    <t>中学校屋内運動場等空調設備設置事業</t>
    <rPh sb="0" eb="3">
      <t>チュウガッコウ</t>
    </rPh>
    <rPh sb="3" eb="5">
      <t>オクナイ</t>
    </rPh>
    <rPh sb="5" eb="8">
      <t>ウンドウジョウ</t>
    </rPh>
    <rPh sb="8" eb="9">
      <t>トウ</t>
    </rPh>
    <rPh sb="9" eb="11">
      <t>クウチョウ</t>
    </rPh>
    <rPh sb="11" eb="13">
      <t>セツビ</t>
    </rPh>
    <rPh sb="13" eb="15">
      <t>セッチ</t>
    </rPh>
    <rPh sb="15" eb="17">
      <t>ジギョウ</t>
    </rPh>
    <phoneticPr fontId="4"/>
  </si>
  <si>
    <t>一般会計の地方債現在高のうち、国の財源不足等により発行する特例債（臨時財政対策債、減収補てん債、特別減収対策債等の合計）は前年度に比べ減少していますが、道路や教育施設などの整備事業に充てる通常債は増加しています。</t>
    <rPh sb="86" eb="88">
      <t>セイビ</t>
    </rPh>
    <rPh sb="88" eb="90">
      <t>ジギョウ</t>
    </rPh>
    <rPh sb="91" eb="92">
      <t>ア</t>
    </rPh>
    <rPh sb="98" eb="100">
      <t>ゾウカ</t>
    </rPh>
    <phoneticPr fontId="6"/>
  </si>
  <si>
    <t>会計名</t>
    <rPh sb="0" eb="1">
      <t>カイ</t>
    </rPh>
    <rPh sb="1" eb="2">
      <t>ケイ</t>
    </rPh>
    <rPh sb="2" eb="3">
      <t>メイ</t>
    </rPh>
    <phoneticPr fontId="6"/>
  </si>
  <si>
    <t>合計</t>
    <rPh sb="0" eb="1">
      <t>ゴウ</t>
    </rPh>
    <rPh sb="1" eb="2">
      <t>ケイ</t>
    </rPh>
    <phoneticPr fontId="6"/>
  </si>
  <si>
    <t>歳入合計</t>
    <rPh sb="0" eb="1">
      <t>トシ</t>
    </rPh>
    <rPh sb="1" eb="2">
      <t>イ</t>
    </rPh>
    <rPh sb="2" eb="3">
      <t>ゴウ</t>
    </rPh>
    <rPh sb="3" eb="4">
      <t>ケイ</t>
    </rPh>
    <phoneticPr fontId="6"/>
  </si>
  <si>
    <t>歳出合計</t>
    <rPh sb="0" eb="1">
      <t>トシ</t>
    </rPh>
    <rPh sb="1" eb="2">
      <t>デ</t>
    </rPh>
    <rPh sb="2" eb="3">
      <t>ゴウ</t>
    </rPh>
    <rPh sb="3" eb="4">
      <t>ケイ</t>
    </rPh>
    <phoneticPr fontId="6"/>
  </si>
  <si>
    <t>区分</t>
    <rPh sb="0" eb="1">
      <t>ク</t>
    </rPh>
    <rPh sb="1" eb="2">
      <t>ブン</t>
    </rPh>
    <phoneticPr fontId="6"/>
  </si>
  <si>
    <t>小計</t>
    <rPh sb="0" eb="1">
      <t>ショウ</t>
    </rPh>
    <rPh sb="1" eb="2">
      <t>ケイ</t>
    </rPh>
    <phoneticPr fontId="6"/>
  </si>
  <si>
    <t>　補助事業費</t>
    <rPh sb="1" eb="3">
      <t>ホジョ</t>
    </rPh>
    <rPh sb="3" eb="6">
      <t>ジギョウヒ</t>
    </rPh>
    <phoneticPr fontId="6"/>
  </si>
  <si>
    <t>　単独事業費</t>
    <rPh sb="1" eb="3">
      <t>タンドク</t>
    </rPh>
    <rPh sb="3" eb="6">
      <t>ジギョウヒ</t>
    </rPh>
    <phoneticPr fontId="6"/>
  </si>
  <si>
    <t>　その他</t>
    <rPh sb="3" eb="4">
      <t>タ</t>
    </rPh>
    <phoneticPr fontId="6"/>
  </si>
  <si>
    <t>環境性能割交付金</t>
  </si>
  <si>
    <t>小計</t>
    <rPh sb="0" eb="1">
      <t>ショウ</t>
    </rPh>
    <rPh sb="1" eb="2">
      <t>ケイ</t>
    </rPh>
    <phoneticPr fontId="4"/>
  </si>
  <si>
    <t>款名称</t>
    <rPh sb="0" eb="1">
      <t>カン</t>
    </rPh>
    <rPh sb="1" eb="3">
      <t>メイショウ</t>
    </rPh>
    <phoneticPr fontId="4"/>
  </si>
  <si>
    <t>事項</t>
  </si>
  <si>
    <t>期間</t>
  </si>
  <si>
    <t>限度額</t>
  </si>
  <si>
    <t>令和６年度～令和７年度</t>
  </si>
  <si>
    <t>令和６年度～令和１０年度</t>
  </si>
  <si>
    <t>令和６年度～令和１２年度</t>
  </si>
  <si>
    <t>（単位：千円）</t>
    <rPh sb="1" eb="3">
      <t>タンイ</t>
    </rPh>
    <rPh sb="4" eb="6">
      <t>センエン</t>
    </rPh>
    <phoneticPr fontId="4"/>
  </si>
  <si>
    <t>歳　入　　計</t>
    <rPh sb="0" eb="1">
      <t>トシ</t>
    </rPh>
    <rPh sb="2" eb="3">
      <t>イリ</t>
    </rPh>
    <rPh sb="5" eb="6">
      <t>ケイ</t>
    </rPh>
    <phoneticPr fontId="6"/>
  </si>
  <si>
    <t>令和６年度臨時財政対策債</t>
    <rPh sb="11" eb="12">
      <t>サイ</t>
    </rPh>
    <phoneticPr fontId="6"/>
  </si>
  <si>
    <t>学校施設整備事業債（小中学校）</t>
    <rPh sb="10" eb="14">
      <t>ショウチュウガッコウ</t>
    </rPh>
    <phoneticPr fontId="6"/>
  </si>
  <si>
    <t>消防施設整備事業債</t>
  </si>
  <si>
    <t>排水路整備事業債</t>
  </si>
  <si>
    <t>西大袋公園整備事業債</t>
    <rPh sb="0" eb="3">
      <t>ニシオオブクロ</t>
    </rPh>
    <phoneticPr fontId="6"/>
  </si>
  <si>
    <t>平方公園整備事業債</t>
    <phoneticPr fontId="6"/>
  </si>
  <si>
    <t>浦和野田線整備事業債</t>
  </si>
  <si>
    <t>健康福祉村大袋線整備事業債</t>
    <rPh sb="0" eb="8">
      <t>ケンコウフクシムラオオブクロセン</t>
    </rPh>
    <rPh sb="8" eb="10">
      <t>セイビ</t>
    </rPh>
    <rPh sb="10" eb="12">
      <t>ジギョウ</t>
    </rPh>
    <rPh sb="12" eb="13">
      <t>サイ</t>
    </rPh>
    <phoneticPr fontId="4"/>
  </si>
  <si>
    <t>越谷吉川線整備事業債</t>
    <rPh sb="0" eb="2">
      <t>コシガヤ</t>
    </rPh>
    <rPh sb="2" eb="4">
      <t>ヨシカワ</t>
    </rPh>
    <rPh sb="4" eb="5">
      <t>セン</t>
    </rPh>
    <rPh sb="5" eb="7">
      <t>セイビ</t>
    </rPh>
    <rPh sb="7" eb="9">
      <t>ジギョウ</t>
    </rPh>
    <rPh sb="9" eb="10">
      <t>サイ</t>
    </rPh>
    <phoneticPr fontId="4"/>
  </si>
  <si>
    <t>応急対策事業債</t>
    <phoneticPr fontId="6"/>
  </si>
  <si>
    <t>道路整備事業債</t>
  </si>
  <si>
    <t>古利根堰改修事業債</t>
    <phoneticPr fontId="6"/>
  </si>
  <si>
    <t>かんがい排水整備事業債</t>
  </si>
  <si>
    <t>農地耕作条件改善事業債</t>
  </si>
  <si>
    <t>農道整備事業債</t>
  </si>
  <si>
    <t>児童館整備事業債</t>
  </si>
  <si>
    <t>学童保育室整備事業債</t>
  </si>
  <si>
    <t>保育所整備事業債</t>
  </si>
  <si>
    <t>老人福祉施設整備事業債</t>
  </si>
  <si>
    <t>災害予防対策事業債</t>
    <phoneticPr fontId="3"/>
  </si>
  <si>
    <t>交流館整備事業債</t>
  </si>
  <si>
    <t>市民会館整備事業債</t>
  </si>
  <si>
    <t>地区センター・公民館整備事業債</t>
  </si>
  <si>
    <t>庁舎整備事業債</t>
  </si>
  <si>
    <t>コミュニティプラザ貸付収入</t>
    <rPh sb="9" eb="11">
      <t>カシツケ</t>
    </rPh>
    <rPh sb="11" eb="13">
      <t>シュウニュウ</t>
    </rPh>
    <phoneticPr fontId="4"/>
  </si>
  <si>
    <t>市町村振興協会交付金</t>
    <rPh sb="0" eb="3">
      <t>シチョウソン</t>
    </rPh>
    <rPh sb="3" eb="5">
      <t>シンコウ</t>
    </rPh>
    <rPh sb="5" eb="7">
      <t>キョウカイ</t>
    </rPh>
    <rPh sb="7" eb="10">
      <t>コウフキン</t>
    </rPh>
    <phoneticPr fontId="4"/>
  </si>
  <si>
    <t>金属等売払代金</t>
    <rPh sb="0" eb="2">
      <t>キンゾク</t>
    </rPh>
    <rPh sb="2" eb="3">
      <t>トウ</t>
    </rPh>
    <rPh sb="3" eb="5">
      <t>ウリハラ</t>
    </rPh>
    <rPh sb="5" eb="7">
      <t>ダイキン</t>
    </rPh>
    <phoneticPr fontId="4"/>
  </si>
  <si>
    <t>古紙等売払代金</t>
    <rPh sb="0" eb="2">
      <t>コシ</t>
    </rPh>
    <rPh sb="2" eb="3">
      <t>トウ</t>
    </rPh>
    <rPh sb="3" eb="5">
      <t>ウリハラ</t>
    </rPh>
    <rPh sb="5" eb="7">
      <t>ダイキン</t>
    </rPh>
    <phoneticPr fontId="4"/>
  </si>
  <si>
    <t>収入印紙等売捌収入</t>
    <rPh sb="0" eb="2">
      <t>シュウニュウ</t>
    </rPh>
    <rPh sb="2" eb="4">
      <t>インシ</t>
    </rPh>
    <rPh sb="4" eb="5">
      <t>トウ</t>
    </rPh>
    <rPh sb="5" eb="7">
      <t>ウリサバ</t>
    </rPh>
    <rPh sb="7" eb="9">
      <t>シュウニュウ</t>
    </rPh>
    <phoneticPr fontId="4"/>
  </si>
  <si>
    <t>学校給食費実費徴収金</t>
    <phoneticPr fontId="6"/>
  </si>
  <si>
    <t>急患診療所診療収入</t>
    <rPh sb="0" eb="2">
      <t>キュウカン</t>
    </rPh>
    <rPh sb="2" eb="5">
      <t>シンリョウジョ</t>
    </rPh>
    <rPh sb="5" eb="7">
      <t>シンリョウ</t>
    </rPh>
    <rPh sb="7" eb="9">
      <t>シュウニュウ</t>
    </rPh>
    <phoneticPr fontId="4"/>
  </si>
  <si>
    <t>児童発達支援センター給付費収入</t>
    <rPh sb="0" eb="2">
      <t>ジドウ</t>
    </rPh>
    <rPh sb="2" eb="4">
      <t>ハッタツ</t>
    </rPh>
    <rPh sb="4" eb="6">
      <t>シエン</t>
    </rPh>
    <rPh sb="10" eb="12">
      <t>キュウフ</t>
    </rPh>
    <rPh sb="12" eb="13">
      <t>ヒ</t>
    </rPh>
    <rPh sb="13" eb="15">
      <t>シュウニュウ</t>
    </rPh>
    <phoneticPr fontId="4"/>
  </si>
  <si>
    <t>障がい福祉サービス事業訓練等給付費等収入</t>
    <rPh sb="0" eb="1">
      <t>ショウ</t>
    </rPh>
    <rPh sb="3" eb="5">
      <t>フクシ</t>
    </rPh>
    <rPh sb="9" eb="11">
      <t>ジギョウ</t>
    </rPh>
    <rPh sb="11" eb="14">
      <t>クンレンナド</t>
    </rPh>
    <rPh sb="14" eb="16">
      <t>キュウフ</t>
    </rPh>
    <rPh sb="16" eb="18">
      <t>ヒナド</t>
    </rPh>
    <rPh sb="18" eb="20">
      <t>シュウニュウ</t>
    </rPh>
    <phoneticPr fontId="4"/>
  </si>
  <si>
    <t>競艇事業収入</t>
    <phoneticPr fontId="4"/>
  </si>
  <si>
    <t>後期高齢者医療健康診査業務受託収入</t>
    <rPh sb="0" eb="2">
      <t>コウキ</t>
    </rPh>
    <rPh sb="2" eb="5">
      <t>コウレイシャ</t>
    </rPh>
    <rPh sb="5" eb="7">
      <t>イリョウ</t>
    </rPh>
    <rPh sb="7" eb="9">
      <t>ケンコウ</t>
    </rPh>
    <rPh sb="9" eb="11">
      <t>シンサ</t>
    </rPh>
    <rPh sb="11" eb="13">
      <t>ギョウム</t>
    </rPh>
    <rPh sb="13" eb="15">
      <t>ジュタク</t>
    </rPh>
    <rPh sb="15" eb="17">
      <t>シュウニュウ</t>
    </rPh>
    <phoneticPr fontId="4"/>
  </si>
  <si>
    <t>入学準備金貸付金償還金</t>
    <rPh sb="0" eb="2">
      <t>ニュウガク</t>
    </rPh>
    <rPh sb="2" eb="5">
      <t>ジュンビキン</t>
    </rPh>
    <rPh sb="8" eb="10">
      <t>ショウカン</t>
    </rPh>
    <phoneticPr fontId="4"/>
  </si>
  <si>
    <t>中小企業資金融資預託金元利収入</t>
    <rPh sb="0" eb="2">
      <t>チュウショウ</t>
    </rPh>
    <rPh sb="2" eb="4">
      <t>キギョウ</t>
    </rPh>
    <rPh sb="4" eb="6">
      <t>シキン</t>
    </rPh>
    <rPh sb="6" eb="8">
      <t>ユウシ</t>
    </rPh>
    <rPh sb="8" eb="11">
      <t>ヨタクキン</t>
    </rPh>
    <rPh sb="11" eb="13">
      <t>ガンリ</t>
    </rPh>
    <rPh sb="13" eb="15">
      <t>シュウニュウ</t>
    </rPh>
    <phoneticPr fontId="4"/>
  </si>
  <si>
    <t>歳計現金預金利子</t>
    <phoneticPr fontId="4"/>
  </si>
  <si>
    <t>前年度繰越金</t>
  </si>
  <si>
    <t>介護保険特別会計繰入金</t>
    <rPh sb="0" eb="8">
      <t>カイゴホケントクベツカイケイ</t>
    </rPh>
    <rPh sb="8" eb="11">
      <t>クリイレキン</t>
    </rPh>
    <phoneticPr fontId="4"/>
  </si>
  <si>
    <t>森林環境譲与税基金繰入金</t>
    <rPh sb="0" eb="2">
      <t>シンリン</t>
    </rPh>
    <rPh sb="2" eb="4">
      <t>カンキョウ</t>
    </rPh>
    <rPh sb="4" eb="6">
      <t>ジョウヨ</t>
    </rPh>
    <rPh sb="6" eb="7">
      <t>ゼイ</t>
    </rPh>
    <rPh sb="9" eb="12">
      <t>クリイレキン</t>
    </rPh>
    <phoneticPr fontId="4"/>
  </si>
  <si>
    <t>公共施設等整備基金繰入金</t>
    <rPh sb="9" eb="12">
      <t>クリイレキン</t>
    </rPh>
    <phoneticPr fontId="4"/>
  </si>
  <si>
    <t>しらこばと基金繰入金　　</t>
    <phoneticPr fontId="4"/>
  </si>
  <si>
    <t>財政調整基金繰入金　　</t>
    <phoneticPr fontId="4"/>
  </si>
  <si>
    <t>図書館費寄附金</t>
    <rPh sb="0" eb="4">
      <t>トショカンヒ</t>
    </rPh>
    <rPh sb="4" eb="7">
      <t>キフキン</t>
    </rPh>
    <phoneticPr fontId="6"/>
  </si>
  <si>
    <t>公園費寄附金</t>
    <rPh sb="0" eb="2">
      <t>コウエン</t>
    </rPh>
    <rPh sb="2" eb="3">
      <t>ヒ</t>
    </rPh>
    <rPh sb="3" eb="6">
      <t>キフキン</t>
    </rPh>
    <phoneticPr fontId="6"/>
  </si>
  <si>
    <t>越谷しらこばと基金寄附金</t>
    <rPh sb="0" eb="2">
      <t>コシガヤ</t>
    </rPh>
    <rPh sb="7" eb="9">
      <t>キキン</t>
    </rPh>
    <rPh sb="9" eb="12">
      <t>キフキン</t>
    </rPh>
    <phoneticPr fontId="4"/>
  </si>
  <si>
    <t>一般寄附金</t>
    <rPh sb="0" eb="5">
      <t>イッパンキフキン</t>
    </rPh>
    <phoneticPr fontId="4"/>
  </si>
  <si>
    <t>建物貸付収入</t>
    <phoneticPr fontId="4"/>
  </si>
  <si>
    <t>土地貸付収入</t>
  </si>
  <si>
    <t>基幹統計調査事務委託金</t>
    <rPh sb="0" eb="2">
      <t>キカン</t>
    </rPh>
    <rPh sb="2" eb="4">
      <t>トウケイ</t>
    </rPh>
    <rPh sb="4" eb="6">
      <t>チョウサ</t>
    </rPh>
    <rPh sb="6" eb="8">
      <t>ジム</t>
    </rPh>
    <rPh sb="8" eb="10">
      <t>イタク</t>
    </rPh>
    <rPh sb="10" eb="11">
      <t>キン</t>
    </rPh>
    <phoneticPr fontId="4"/>
  </si>
  <si>
    <t>県民税賦課徴収委託金</t>
    <phoneticPr fontId="4"/>
  </si>
  <si>
    <t>鉄道駅ホームドア設置促進事業補助金</t>
    <rPh sb="0" eb="2">
      <t>テツドウ</t>
    </rPh>
    <rPh sb="2" eb="3">
      <t>エキ</t>
    </rPh>
    <rPh sb="8" eb="10">
      <t>セッチ</t>
    </rPh>
    <rPh sb="10" eb="12">
      <t>ソクシン</t>
    </rPh>
    <rPh sb="12" eb="14">
      <t>ジギョウ</t>
    </rPh>
    <rPh sb="14" eb="17">
      <t>ホジョキン</t>
    </rPh>
    <phoneticPr fontId="4"/>
  </si>
  <si>
    <t>かんがい排水整備事業費補助金</t>
    <rPh sb="4" eb="6">
      <t>ハイスイ</t>
    </rPh>
    <rPh sb="6" eb="8">
      <t>セイビ</t>
    </rPh>
    <rPh sb="8" eb="10">
      <t>ジギョウ</t>
    </rPh>
    <rPh sb="11" eb="14">
      <t>ホジョキン</t>
    </rPh>
    <phoneticPr fontId="3"/>
  </si>
  <si>
    <t>水辺活用事業費補助金</t>
    <rPh sb="0" eb="2">
      <t>ミズベ</t>
    </rPh>
    <rPh sb="2" eb="4">
      <t>カツヨウ</t>
    </rPh>
    <rPh sb="4" eb="6">
      <t>ジギョウ</t>
    </rPh>
    <rPh sb="6" eb="7">
      <t>ヒ</t>
    </rPh>
    <rPh sb="7" eb="10">
      <t>ホジョキン</t>
    </rPh>
    <phoneticPr fontId="4"/>
  </si>
  <si>
    <t>合併処理浄化槽設置整備奨励交付金</t>
    <rPh sb="0" eb="2">
      <t>ガッペイ</t>
    </rPh>
    <rPh sb="2" eb="4">
      <t>ショリ</t>
    </rPh>
    <rPh sb="4" eb="7">
      <t>ジョウカソウ</t>
    </rPh>
    <rPh sb="7" eb="9">
      <t>セッチ</t>
    </rPh>
    <rPh sb="9" eb="11">
      <t>セイビ</t>
    </rPh>
    <rPh sb="11" eb="13">
      <t>ショウレイ</t>
    </rPh>
    <rPh sb="13" eb="16">
      <t>コウフキン</t>
    </rPh>
    <phoneticPr fontId="4"/>
  </si>
  <si>
    <t>出産・子育て応援事業費補助金</t>
    <rPh sb="0" eb="2">
      <t>シュッサン</t>
    </rPh>
    <rPh sb="3" eb="5">
      <t>コソダ</t>
    </rPh>
    <rPh sb="6" eb="8">
      <t>オウエン</t>
    </rPh>
    <rPh sb="8" eb="11">
      <t>ジギョウヒ</t>
    </rPh>
    <rPh sb="11" eb="14">
      <t>ホジョキン</t>
    </rPh>
    <phoneticPr fontId="4"/>
  </si>
  <si>
    <t>多子世帯保育料軽減事業費補助金</t>
    <phoneticPr fontId="4"/>
  </si>
  <si>
    <t>乳幼児医療給付費補助金</t>
    <phoneticPr fontId="4"/>
  </si>
  <si>
    <t>放課後児童健全育成事業費補助金</t>
    <rPh sb="0" eb="3">
      <t>ホウカゴ</t>
    </rPh>
    <rPh sb="3" eb="5">
      <t>ジドウ</t>
    </rPh>
    <rPh sb="5" eb="7">
      <t>ケンゼン</t>
    </rPh>
    <rPh sb="7" eb="9">
      <t>イクセイ</t>
    </rPh>
    <rPh sb="9" eb="12">
      <t>ジギョウヒ</t>
    </rPh>
    <rPh sb="12" eb="15">
      <t>ホジョキン</t>
    </rPh>
    <phoneticPr fontId="4"/>
  </si>
  <si>
    <t>重層的支援体制整備事業交付金</t>
    <phoneticPr fontId="4"/>
  </si>
  <si>
    <t>在宅重度心身障がい者手当給付費補助金</t>
    <phoneticPr fontId="4"/>
  </si>
  <si>
    <t>重度心身障がい者医療費補助金</t>
    <phoneticPr fontId="4"/>
  </si>
  <si>
    <t>消費者行政活性化補助金</t>
    <rPh sb="0" eb="3">
      <t>ショウヒシャ</t>
    </rPh>
    <rPh sb="3" eb="5">
      <t>ギョウセイ</t>
    </rPh>
    <rPh sb="5" eb="8">
      <t>カッセイカ</t>
    </rPh>
    <rPh sb="8" eb="11">
      <t>ホジョキン</t>
    </rPh>
    <phoneticPr fontId="4"/>
  </si>
  <si>
    <t>未熟児養育医療給付費負担金</t>
    <rPh sb="0" eb="3">
      <t>ミジュクジ</t>
    </rPh>
    <rPh sb="3" eb="5">
      <t>ヨウイク</t>
    </rPh>
    <rPh sb="5" eb="7">
      <t>イリョウ</t>
    </rPh>
    <rPh sb="7" eb="9">
      <t>キュウフ</t>
    </rPh>
    <rPh sb="9" eb="10">
      <t>ヒ</t>
    </rPh>
    <rPh sb="10" eb="13">
      <t>フタンキン</t>
    </rPh>
    <phoneticPr fontId="4"/>
  </si>
  <si>
    <t>児童手当負担金</t>
    <rPh sb="0" eb="2">
      <t>ジドウ</t>
    </rPh>
    <rPh sb="2" eb="4">
      <t>テア</t>
    </rPh>
    <phoneticPr fontId="4"/>
  </si>
  <si>
    <t>施設等利用費負担金</t>
    <rPh sb="0" eb="5">
      <t>シセツトウリヨウ</t>
    </rPh>
    <phoneticPr fontId="4"/>
  </si>
  <si>
    <t>地域型保育給付費負担金</t>
  </si>
  <si>
    <t>施設型給付費負担金</t>
  </si>
  <si>
    <t>障がい児通所給付費負担金</t>
    <rPh sb="0" eb="1">
      <t>ショウ</t>
    </rPh>
    <rPh sb="3" eb="4">
      <t>ジ</t>
    </rPh>
    <rPh sb="4" eb="9">
      <t>ツウショキュウフヒ</t>
    </rPh>
    <rPh sb="9" eb="12">
      <t>フタンキン</t>
    </rPh>
    <phoneticPr fontId="4"/>
  </si>
  <si>
    <t>低所得者保険料軽減負担金</t>
    <rPh sb="0" eb="12">
      <t>テイショトクシャホケンリョウケイゲンフタンキン</t>
    </rPh>
    <phoneticPr fontId="4"/>
  </si>
  <si>
    <t>後期高齢者医療保険基盤安定拠出金負担金</t>
    <rPh sb="0" eb="2">
      <t>コウキ</t>
    </rPh>
    <rPh sb="2" eb="5">
      <t>コウレイシャ</t>
    </rPh>
    <rPh sb="5" eb="7">
      <t>イリョウ</t>
    </rPh>
    <rPh sb="7" eb="9">
      <t>ホケン</t>
    </rPh>
    <rPh sb="9" eb="11">
      <t>キバン</t>
    </rPh>
    <rPh sb="11" eb="13">
      <t>アンテイ</t>
    </rPh>
    <rPh sb="13" eb="16">
      <t>キョシュツキン</t>
    </rPh>
    <rPh sb="16" eb="19">
      <t>フ</t>
    </rPh>
    <phoneticPr fontId="4"/>
  </si>
  <si>
    <t>保険基盤安定負担金</t>
  </si>
  <si>
    <t>障がい者自立支援医療給付費負担金</t>
    <rPh sb="3" eb="4">
      <t>シャ</t>
    </rPh>
    <rPh sb="4" eb="6">
      <t>ジリツ</t>
    </rPh>
    <rPh sb="6" eb="8">
      <t>シエン</t>
    </rPh>
    <rPh sb="8" eb="10">
      <t>イリョウ</t>
    </rPh>
    <rPh sb="10" eb="12">
      <t>キュウフ</t>
    </rPh>
    <rPh sb="12" eb="13">
      <t>ヒ</t>
    </rPh>
    <rPh sb="13" eb="16">
      <t>フタンキン</t>
    </rPh>
    <phoneticPr fontId="4"/>
  </si>
  <si>
    <t>障がい者介護給付費負担金</t>
    <rPh sb="0" eb="1">
      <t>サワ</t>
    </rPh>
    <rPh sb="3" eb="4">
      <t>モノ</t>
    </rPh>
    <rPh sb="4" eb="6">
      <t>カイゴ</t>
    </rPh>
    <rPh sb="6" eb="8">
      <t>キュウフ</t>
    </rPh>
    <rPh sb="8" eb="9">
      <t>ヒ</t>
    </rPh>
    <rPh sb="9" eb="12">
      <t>フ</t>
    </rPh>
    <phoneticPr fontId="4"/>
  </si>
  <si>
    <t>障がい者施設サービス給付費負担金</t>
    <rPh sb="0" eb="1">
      <t>サワ</t>
    </rPh>
    <rPh sb="3" eb="4">
      <t>モノ</t>
    </rPh>
    <rPh sb="4" eb="6">
      <t>シセツ</t>
    </rPh>
    <rPh sb="10" eb="12">
      <t>キュウフ</t>
    </rPh>
    <rPh sb="12" eb="13">
      <t>ヒ</t>
    </rPh>
    <rPh sb="13" eb="16">
      <t>フ</t>
    </rPh>
    <phoneticPr fontId="4"/>
  </si>
  <si>
    <t>国民年金事務委託金</t>
    <rPh sb="0" eb="2">
      <t>コクミン</t>
    </rPh>
    <rPh sb="2" eb="4">
      <t>ネンキン</t>
    </rPh>
    <rPh sb="4" eb="6">
      <t>ジム</t>
    </rPh>
    <rPh sb="6" eb="8">
      <t>イタク</t>
    </rPh>
    <rPh sb="8" eb="9">
      <t>キン</t>
    </rPh>
    <phoneticPr fontId="4"/>
  </si>
  <si>
    <t>区画整理事業費補助金</t>
    <phoneticPr fontId="6"/>
  </si>
  <si>
    <t>学校施設整備事業交付金</t>
    <phoneticPr fontId="4"/>
  </si>
  <si>
    <t>平方公園整備事業費補助金</t>
    <phoneticPr fontId="4"/>
  </si>
  <si>
    <t>健康福祉村大袋線整備事業費補助金</t>
    <rPh sb="0" eb="2">
      <t>ケンコウ</t>
    </rPh>
    <rPh sb="2" eb="4">
      <t>フクシ</t>
    </rPh>
    <rPh sb="4" eb="5">
      <t>ムラ</t>
    </rPh>
    <rPh sb="5" eb="7">
      <t>オオブクロ</t>
    </rPh>
    <rPh sb="7" eb="8">
      <t>セン</t>
    </rPh>
    <rPh sb="8" eb="10">
      <t>セイビ</t>
    </rPh>
    <rPh sb="10" eb="12">
      <t>ジギョウ</t>
    </rPh>
    <rPh sb="12" eb="13">
      <t>ヒ</t>
    </rPh>
    <rPh sb="13" eb="16">
      <t>ホジョキン</t>
    </rPh>
    <phoneticPr fontId="4"/>
  </si>
  <si>
    <t>越谷吉川線整備事業費補助金</t>
    <rPh sb="0" eb="2">
      <t>コシガヤ</t>
    </rPh>
    <rPh sb="2" eb="4">
      <t>ヨシカワ</t>
    </rPh>
    <rPh sb="4" eb="5">
      <t>セン</t>
    </rPh>
    <rPh sb="5" eb="7">
      <t>セイビ</t>
    </rPh>
    <rPh sb="7" eb="10">
      <t>ジギョウヒ</t>
    </rPh>
    <rPh sb="10" eb="13">
      <t>ホジョキン</t>
    </rPh>
    <phoneticPr fontId="4"/>
  </si>
  <si>
    <t>道路整備事業費補助金</t>
    <rPh sb="0" eb="2">
      <t>ドウロ</t>
    </rPh>
    <rPh sb="2" eb="4">
      <t>セイビ</t>
    </rPh>
    <rPh sb="4" eb="7">
      <t>ジギョウヒ</t>
    </rPh>
    <rPh sb="7" eb="10">
      <t>ホジョキン</t>
    </rPh>
    <phoneticPr fontId="4"/>
  </si>
  <si>
    <t>循環型社会形成推進交付金</t>
    <rPh sb="0" eb="3">
      <t>ジュンカンガタ</t>
    </rPh>
    <rPh sb="3" eb="5">
      <t>シャカイ</t>
    </rPh>
    <rPh sb="5" eb="7">
      <t>ケイセイ</t>
    </rPh>
    <rPh sb="7" eb="9">
      <t>スイシン</t>
    </rPh>
    <rPh sb="9" eb="12">
      <t>コウフキン</t>
    </rPh>
    <phoneticPr fontId="4"/>
  </si>
  <si>
    <t>保育対策総合支援事業費補助金</t>
    <rPh sb="0" eb="2">
      <t>ホイク</t>
    </rPh>
    <rPh sb="2" eb="4">
      <t>タイサク</t>
    </rPh>
    <rPh sb="4" eb="6">
      <t>ソウゴウ</t>
    </rPh>
    <rPh sb="6" eb="8">
      <t>シエン</t>
    </rPh>
    <rPh sb="8" eb="10">
      <t>ジギョウ</t>
    </rPh>
    <rPh sb="10" eb="11">
      <t>ヒ</t>
    </rPh>
    <rPh sb="11" eb="14">
      <t>ホジョキン</t>
    </rPh>
    <phoneticPr fontId="4"/>
  </si>
  <si>
    <t>子ども・子育て支援交付金</t>
    <rPh sb="0" eb="1">
      <t>コ</t>
    </rPh>
    <rPh sb="4" eb="6">
      <t>コソダ</t>
    </rPh>
    <rPh sb="7" eb="9">
      <t>シエン</t>
    </rPh>
    <rPh sb="9" eb="12">
      <t>コウフキン</t>
    </rPh>
    <phoneticPr fontId="4"/>
  </si>
  <si>
    <t>子ども・子育て支援整備交付金</t>
    <rPh sb="0" eb="1">
      <t>コ</t>
    </rPh>
    <rPh sb="4" eb="6">
      <t>コソダ</t>
    </rPh>
    <rPh sb="7" eb="9">
      <t>シエン</t>
    </rPh>
    <rPh sb="9" eb="11">
      <t>セイビ</t>
    </rPh>
    <rPh sb="11" eb="14">
      <t>コウフキン</t>
    </rPh>
    <phoneticPr fontId="4"/>
  </si>
  <si>
    <t>個人番号カード関連事務費補助金</t>
    <rPh sb="0" eb="2">
      <t>コジン</t>
    </rPh>
    <rPh sb="2" eb="4">
      <t>バンゴウ</t>
    </rPh>
    <rPh sb="7" eb="9">
      <t>カンレン</t>
    </rPh>
    <rPh sb="9" eb="11">
      <t>ジム</t>
    </rPh>
    <rPh sb="11" eb="12">
      <t>ヒ</t>
    </rPh>
    <rPh sb="12" eb="15">
      <t>ホジョキン</t>
    </rPh>
    <phoneticPr fontId="4"/>
  </si>
  <si>
    <t>社会保障・税番号制度システム整備費補助金</t>
    <phoneticPr fontId="6"/>
  </si>
  <si>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6"/>
  </si>
  <si>
    <t>デジタル基盤改革支援補助金</t>
    <rPh sb="4" eb="8">
      <t>キバンカイカク</t>
    </rPh>
    <rPh sb="8" eb="10">
      <t>シエン</t>
    </rPh>
    <rPh sb="10" eb="13">
      <t>ホジョキン</t>
    </rPh>
    <phoneticPr fontId="4"/>
  </si>
  <si>
    <t>番号制度電算処理システム整備費補助金</t>
    <phoneticPr fontId="6"/>
  </si>
  <si>
    <t>小児慢性特定疾病医療費負担金</t>
    <rPh sb="0" eb="2">
      <t>ショウニ</t>
    </rPh>
    <rPh sb="2" eb="4">
      <t>マンセイ</t>
    </rPh>
    <rPh sb="4" eb="6">
      <t>トクテイ</t>
    </rPh>
    <rPh sb="6" eb="8">
      <t>シッペイ</t>
    </rPh>
    <rPh sb="8" eb="11">
      <t>イリョウヒ</t>
    </rPh>
    <rPh sb="11" eb="14">
      <t>フタンキン</t>
    </rPh>
    <phoneticPr fontId="4"/>
  </si>
  <si>
    <t>介護扶助費等負担金</t>
    <rPh sb="0" eb="2">
      <t>カイゴ</t>
    </rPh>
    <rPh sb="2" eb="6">
      <t>フジョヒトウ</t>
    </rPh>
    <rPh sb="6" eb="9">
      <t>フタンキン</t>
    </rPh>
    <phoneticPr fontId="4"/>
  </si>
  <si>
    <t>医療扶助費等負担金</t>
    <rPh sb="0" eb="2">
      <t>イリョウ</t>
    </rPh>
    <rPh sb="2" eb="6">
      <t>フジョヒトウ</t>
    </rPh>
    <rPh sb="6" eb="9">
      <t>フタンキン</t>
    </rPh>
    <phoneticPr fontId="4"/>
  </si>
  <si>
    <t>生活扶助費等負担金</t>
    <rPh sb="0" eb="2">
      <t>セイカツ</t>
    </rPh>
    <rPh sb="2" eb="6">
      <t>フジョヒトウ</t>
    </rPh>
    <rPh sb="6" eb="9">
      <t>フタンキン</t>
    </rPh>
    <phoneticPr fontId="4"/>
  </si>
  <si>
    <t>施設等利用費負担金</t>
    <rPh sb="0" eb="2">
      <t>シセツ</t>
    </rPh>
    <rPh sb="2" eb="3">
      <t>トウ</t>
    </rPh>
    <rPh sb="3" eb="5">
      <t>リヨウ</t>
    </rPh>
    <rPh sb="5" eb="6">
      <t>ヒ</t>
    </rPh>
    <phoneticPr fontId="4"/>
  </si>
  <si>
    <t>地域型保育給付費負担金</t>
    <phoneticPr fontId="4"/>
  </si>
  <si>
    <t>施設型給付費負担金</t>
    <phoneticPr fontId="4"/>
  </si>
  <si>
    <t>障がい児通所給付費負担金</t>
    <rPh sb="0" eb="1">
      <t>ショウ</t>
    </rPh>
    <rPh sb="3" eb="4">
      <t>ジ</t>
    </rPh>
    <rPh sb="4" eb="6">
      <t>ツウショ</t>
    </rPh>
    <rPh sb="6" eb="8">
      <t>キュウフ</t>
    </rPh>
    <rPh sb="8" eb="9">
      <t>ヒ</t>
    </rPh>
    <rPh sb="9" eb="12">
      <t>フタンキン</t>
    </rPh>
    <phoneticPr fontId="4"/>
  </si>
  <si>
    <t>児童扶養手当負担金</t>
    <phoneticPr fontId="4"/>
  </si>
  <si>
    <t>保険基盤安定負担金</t>
    <phoneticPr fontId="4"/>
  </si>
  <si>
    <t>し尿処理手数料</t>
  </si>
  <si>
    <t>粗大ごみ収集運搬手数料</t>
    <rPh sb="0" eb="2">
      <t>ソダイ</t>
    </rPh>
    <rPh sb="4" eb="6">
      <t>シュウシュウ</t>
    </rPh>
    <rPh sb="6" eb="8">
      <t>ウンパン</t>
    </rPh>
    <rPh sb="8" eb="10">
      <t>テスウ</t>
    </rPh>
    <rPh sb="10" eb="11">
      <t>リョウ</t>
    </rPh>
    <phoneticPr fontId="4"/>
  </si>
  <si>
    <t>と畜検査等手数料</t>
    <phoneticPr fontId="4"/>
  </si>
  <si>
    <t>印鑑証明手数料</t>
  </si>
  <si>
    <t>戸籍謄抄本手数料</t>
  </si>
  <si>
    <t>住民票諸手数料</t>
  </si>
  <si>
    <t>体育館使用料</t>
    <rPh sb="0" eb="3">
      <t>タイイクカン</t>
    </rPh>
    <phoneticPr fontId="4"/>
  </si>
  <si>
    <t>温水プール等使用料</t>
  </si>
  <si>
    <t>屋外体育施設使用料</t>
    <rPh sb="0" eb="2">
      <t>オクガイ</t>
    </rPh>
    <rPh sb="2" eb="4">
      <t>タイイク</t>
    </rPh>
    <rPh sb="4" eb="6">
      <t>シセツ</t>
    </rPh>
    <phoneticPr fontId="4"/>
  </si>
  <si>
    <t>コミュニティセンター使用料</t>
    <phoneticPr fontId="6"/>
  </si>
  <si>
    <t>市営住宅使用料</t>
  </si>
  <si>
    <t>道水路等占用料</t>
    <phoneticPr fontId="4"/>
  </si>
  <si>
    <t>斎場使用料</t>
    <rPh sb="0" eb="2">
      <t>サイジョウ</t>
    </rPh>
    <rPh sb="2" eb="5">
      <t>シヨウリョウ</t>
    </rPh>
    <phoneticPr fontId="6"/>
  </si>
  <si>
    <t>学童保育室使用料</t>
  </si>
  <si>
    <t>保育所使用料</t>
  </si>
  <si>
    <t>中央市民会館使用料</t>
    <rPh sb="0" eb="2">
      <t>チュウオウ</t>
    </rPh>
    <rPh sb="2" eb="4">
      <t>シミン</t>
    </rPh>
    <rPh sb="4" eb="6">
      <t>カイカン</t>
    </rPh>
    <phoneticPr fontId="4"/>
  </si>
  <si>
    <t>地区センター使用料</t>
    <rPh sb="0" eb="2">
      <t>チク</t>
    </rPh>
    <phoneticPr fontId="4"/>
  </si>
  <si>
    <t>行政財産使用料</t>
    <rPh sb="0" eb="2">
      <t>ギョウセイ</t>
    </rPh>
    <rPh sb="2" eb="4">
      <t>ザイサン</t>
    </rPh>
    <rPh sb="4" eb="7">
      <t>シヨウリョウ</t>
    </rPh>
    <phoneticPr fontId="4"/>
  </si>
  <si>
    <t>消防指令業務共同運用事業事業負担金</t>
    <rPh sb="0" eb="6">
      <t>ショウボウシレイギョウム</t>
    </rPh>
    <rPh sb="6" eb="12">
      <t>キョウドウウンヨウジギョウ</t>
    </rPh>
    <rPh sb="12" eb="17">
      <t>ジギョウフタンキン</t>
    </rPh>
    <phoneticPr fontId="3"/>
  </si>
  <si>
    <t>斎場整備等事業負担金</t>
    <rPh sb="0" eb="2">
      <t>サイジョウ</t>
    </rPh>
    <rPh sb="2" eb="4">
      <t>セイビ</t>
    </rPh>
    <rPh sb="4" eb="5">
      <t>トウ</t>
    </rPh>
    <rPh sb="5" eb="7">
      <t>ジギョウ</t>
    </rPh>
    <rPh sb="7" eb="10">
      <t>フ</t>
    </rPh>
    <phoneticPr fontId="6"/>
  </si>
  <si>
    <t>病院群輪番制病院運営事業負担金</t>
    <rPh sb="0" eb="6">
      <t>ビョウイングンリンバンセイ</t>
    </rPh>
    <rPh sb="6" eb="15">
      <t>ビョウインウンエイジギョウフタンキン</t>
    </rPh>
    <phoneticPr fontId="6"/>
  </si>
  <si>
    <t>保育所入所児童保護者負担金</t>
  </si>
  <si>
    <t>交通安全対策特別交付金</t>
  </si>
  <si>
    <r>
      <t>11 交</t>
    </r>
    <r>
      <rPr>
        <sz val="9"/>
        <rFont val="BIZ UDゴシック"/>
        <family val="3"/>
        <charset val="128"/>
      </rPr>
      <t>通安全対策特別交付金</t>
    </r>
    <phoneticPr fontId="4"/>
  </si>
  <si>
    <t>特別交付税</t>
  </si>
  <si>
    <t>普通交付税</t>
  </si>
  <si>
    <t>地方特例交付金</t>
  </si>
  <si>
    <t>地方消費税交付金</t>
    <phoneticPr fontId="4"/>
  </si>
  <si>
    <t>法人事業税交付金</t>
    <rPh sb="0" eb="2">
      <t>ホウジン</t>
    </rPh>
    <rPh sb="2" eb="5">
      <t>ジギョウゼイ</t>
    </rPh>
    <rPh sb="5" eb="8">
      <t>コウフキン</t>
    </rPh>
    <phoneticPr fontId="4"/>
  </si>
  <si>
    <t>株式等譲渡所得割交付金</t>
  </si>
  <si>
    <r>
      <t xml:space="preserve"> 5 </t>
    </r>
    <r>
      <rPr>
        <sz val="9"/>
        <rFont val="BIZ UDゴシック"/>
        <family val="3"/>
        <charset val="128"/>
      </rPr>
      <t>株式等譲渡所得割交付金</t>
    </r>
    <rPh sb="3" eb="5">
      <t>カブシキ</t>
    </rPh>
    <rPh sb="5" eb="6">
      <t>トウ</t>
    </rPh>
    <rPh sb="6" eb="8">
      <t>ジョウト</t>
    </rPh>
    <rPh sb="8" eb="10">
      <t>ショトク</t>
    </rPh>
    <rPh sb="10" eb="11">
      <t>ワリ</t>
    </rPh>
    <rPh sb="11" eb="14">
      <t>コウフキン</t>
    </rPh>
    <phoneticPr fontId="6"/>
  </si>
  <si>
    <t>配当割交付金</t>
  </si>
  <si>
    <t xml:space="preserve"> 4 配当割交付金</t>
    <rPh sb="3" eb="5">
      <t>ハイトウ</t>
    </rPh>
    <rPh sb="5" eb="6">
      <t>ワリ</t>
    </rPh>
    <rPh sb="6" eb="9">
      <t>コウフキン</t>
    </rPh>
    <phoneticPr fontId="6"/>
  </si>
  <si>
    <t>利子割交付金</t>
  </si>
  <si>
    <t xml:space="preserve"> 3 利子割交付金</t>
    <rPh sb="3" eb="4">
      <t>リ</t>
    </rPh>
    <rPh sb="4" eb="5">
      <t>シ</t>
    </rPh>
    <rPh sb="5" eb="6">
      <t>ワリ</t>
    </rPh>
    <rPh sb="6" eb="9">
      <t>コウフキン</t>
    </rPh>
    <phoneticPr fontId="6"/>
  </si>
  <si>
    <t>森林環境譲与税</t>
    <rPh sb="0" eb="2">
      <t>シンリン</t>
    </rPh>
    <rPh sb="2" eb="4">
      <t>カンキョウ</t>
    </rPh>
    <phoneticPr fontId="4"/>
  </si>
  <si>
    <t>自動車重量譲与税</t>
  </si>
  <si>
    <t>地方揮発油譲与税</t>
    <rPh sb="0" eb="2">
      <t>チホウ</t>
    </rPh>
    <rPh sb="2" eb="5">
      <t>キハツユ</t>
    </rPh>
    <phoneticPr fontId="4"/>
  </si>
  <si>
    <t xml:space="preserve"> 2 地方譲与税</t>
    <phoneticPr fontId="6"/>
  </si>
  <si>
    <t>都市計画税</t>
    <rPh sb="0" eb="2">
      <t>トシ</t>
    </rPh>
    <rPh sb="2" eb="4">
      <t>ケイカク</t>
    </rPh>
    <rPh sb="4" eb="5">
      <t>ゼイ</t>
    </rPh>
    <phoneticPr fontId="6"/>
  </si>
  <si>
    <t>事業所税</t>
    <rPh sb="0" eb="3">
      <t>ジギョウショ</t>
    </rPh>
    <rPh sb="3" eb="4">
      <t>ゼイ</t>
    </rPh>
    <phoneticPr fontId="6"/>
  </si>
  <si>
    <t>市たばこ税</t>
    <phoneticPr fontId="6"/>
  </si>
  <si>
    <t>軽自動車税</t>
    <phoneticPr fontId="6"/>
  </si>
  <si>
    <t>固定資産税（土地8,285,000、家屋8,336,000等）</t>
    <rPh sb="0" eb="2">
      <t>コテイ</t>
    </rPh>
    <rPh sb="2" eb="5">
      <t>シサンゼイ</t>
    </rPh>
    <rPh sb="6" eb="8">
      <t>トチ</t>
    </rPh>
    <rPh sb="18" eb="20">
      <t>カオク</t>
    </rPh>
    <rPh sb="29" eb="30">
      <t>トウ</t>
    </rPh>
    <phoneticPr fontId="6"/>
  </si>
  <si>
    <t>市民税（個人20,257,000、法人2,401,000）</t>
    <rPh sb="0" eb="3">
      <t>シミンゼイ</t>
    </rPh>
    <rPh sb="4" eb="6">
      <t>コジン</t>
    </rPh>
    <rPh sb="17" eb="19">
      <t>ホウジン</t>
    </rPh>
    <phoneticPr fontId="6"/>
  </si>
  <si>
    <t xml:space="preserve"> 1 市税</t>
    <rPh sb="3" eb="5">
      <t>シゼイ</t>
    </rPh>
    <phoneticPr fontId="6"/>
  </si>
  <si>
    <t>予算額</t>
    <rPh sb="0" eb="3">
      <t>ヨサンガク</t>
    </rPh>
    <phoneticPr fontId="6"/>
  </si>
  <si>
    <t>（単位：千円）</t>
    <rPh sb="1" eb="3">
      <t>タンイ</t>
    </rPh>
    <rPh sb="4" eb="6">
      <t>センエン</t>
    </rPh>
    <phoneticPr fontId="6"/>
  </si>
  <si>
    <t>（歳入）</t>
    <rPh sb="1" eb="3">
      <t>サイニュウ</t>
    </rPh>
    <phoneticPr fontId="6"/>
  </si>
  <si>
    <t>一般会計予算の内容</t>
    <rPh sb="0" eb="2">
      <t>イッパン</t>
    </rPh>
    <rPh sb="2" eb="4">
      <t>カイケイ</t>
    </rPh>
    <rPh sb="4" eb="6">
      <t>ヨサン</t>
    </rPh>
    <rPh sb="7" eb="9">
      <t>ナイヨウ</t>
    </rPh>
    <phoneticPr fontId="6"/>
  </si>
  <si>
    <t>※　新　…　新規事業</t>
    <rPh sb="2" eb="3">
      <t>シン</t>
    </rPh>
    <rPh sb="6" eb="8">
      <t>シンキ</t>
    </rPh>
    <rPh sb="8" eb="10">
      <t>ジギョウ</t>
    </rPh>
    <phoneticPr fontId="4"/>
  </si>
  <si>
    <t xml:space="preserve">歳　出　 　計 </t>
    <rPh sb="0" eb="1">
      <t>トシ</t>
    </rPh>
    <rPh sb="2" eb="3">
      <t>デ</t>
    </rPh>
    <rPh sb="6" eb="7">
      <t>ケイ</t>
    </rPh>
    <phoneticPr fontId="6"/>
  </si>
  <si>
    <t>予備費　</t>
    <rPh sb="0" eb="3">
      <t>ヨビヒ</t>
    </rPh>
    <phoneticPr fontId="4"/>
  </si>
  <si>
    <t>土地開発公社補助金8,500、土地開発公社利子補給金13,500</t>
    <rPh sb="0" eb="2">
      <t>トチ</t>
    </rPh>
    <rPh sb="2" eb="4">
      <t>カイハツ</t>
    </rPh>
    <rPh sb="4" eb="6">
      <t>コウシャ</t>
    </rPh>
    <rPh sb="6" eb="9">
      <t>ホジョキン</t>
    </rPh>
    <phoneticPr fontId="4"/>
  </si>
  <si>
    <t>土地開発公社振興費</t>
    <phoneticPr fontId="4"/>
  </si>
  <si>
    <t>諸支出金</t>
    <rPh sb="0" eb="1">
      <t>ショ</t>
    </rPh>
    <rPh sb="1" eb="3">
      <t>シシュツ</t>
    </rPh>
    <rPh sb="3" eb="4">
      <t>キン</t>
    </rPh>
    <phoneticPr fontId="4"/>
  </si>
  <si>
    <t>公債費　　</t>
    <rPh sb="0" eb="2">
      <t>コウサイ</t>
    </rPh>
    <rPh sb="2" eb="3">
      <t>ヒ</t>
    </rPh>
    <phoneticPr fontId="4"/>
  </si>
  <si>
    <t>災害復旧費</t>
    <phoneticPr fontId="4"/>
  </si>
  <si>
    <t>災害復旧費　</t>
    <rPh sb="0" eb="2">
      <t>サイガイ</t>
    </rPh>
    <rPh sb="2" eb="4">
      <t>フッキュウ</t>
    </rPh>
    <rPh sb="4" eb="5">
      <t>ヒ</t>
    </rPh>
    <phoneticPr fontId="4"/>
  </si>
  <si>
    <t>体育施設状況調査委託料7,400、越谷市立地域スポーツセンター借上料115,000等</t>
    <rPh sb="17" eb="19">
      <t>コシガヤ</t>
    </rPh>
    <rPh sb="19" eb="21">
      <t>シリツ</t>
    </rPh>
    <rPh sb="21" eb="23">
      <t>チイキ</t>
    </rPh>
    <rPh sb="31" eb="32">
      <t>シャク</t>
    </rPh>
    <rPh sb="32" eb="33">
      <t>ジョウ</t>
    </rPh>
    <rPh sb="33" eb="34">
      <t>リョウ</t>
    </rPh>
    <rPh sb="41" eb="42">
      <t>トウ</t>
    </rPh>
    <phoneticPr fontId="4"/>
  </si>
  <si>
    <t>市立体育施設管理費</t>
    <rPh sb="0" eb="2">
      <t>シリツ</t>
    </rPh>
    <rPh sb="2" eb="4">
      <t>タイイク</t>
    </rPh>
    <rPh sb="4" eb="6">
      <t>シセツ</t>
    </rPh>
    <rPh sb="6" eb="8">
      <t>カンリ</t>
    </rPh>
    <rPh sb="8" eb="9">
      <t>ヒ</t>
    </rPh>
    <phoneticPr fontId="4"/>
  </si>
  <si>
    <r>
      <t xml:space="preserve">屋外体育施設管理運営委託料161,100、施設改修工事費148,000等
</t>
    </r>
    <r>
      <rPr>
        <b/>
        <sz val="9"/>
        <rFont val="BIZ UDゴシック"/>
        <family val="3"/>
        <charset val="128"/>
      </rPr>
      <t>【今年度の取組】</t>
    </r>
    <r>
      <rPr>
        <sz val="9"/>
        <rFont val="BIZ UDゴシック"/>
        <family val="3"/>
        <charset val="128"/>
      </rPr>
      <t xml:space="preserve">
老朽化が進む庭球場の改修工事を実施する。</t>
    </r>
    <rPh sb="21" eb="23">
      <t>シセツ</t>
    </rPh>
    <rPh sb="23" eb="25">
      <t>カイシュウ</t>
    </rPh>
    <rPh sb="25" eb="27">
      <t>コウジ</t>
    </rPh>
    <rPh sb="27" eb="28">
      <t>ヒ</t>
    </rPh>
    <rPh sb="35" eb="36">
      <t>トウ</t>
    </rPh>
    <rPh sb="46" eb="49">
      <t>ロウキュウカ</t>
    </rPh>
    <rPh sb="50" eb="51">
      <t>ススム</t>
    </rPh>
    <rPh sb="56" eb="60">
      <t>カイシュウコウジ</t>
    </rPh>
    <rPh sb="61" eb="63">
      <t>ジッシ</t>
    </rPh>
    <phoneticPr fontId="4"/>
  </si>
  <si>
    <t>屋外体育施設管理運営費</t>
    <rPh sb="0" eb="2">
      <t>オクガイ</t>
    </rPh>
    <rPh sb="2" eb="4">
      <t>タイイク</t>
    </rPh>
    <rPh sb="4" eb="6">
      <t>シセツ</t>
    </rPh>
    <rPh sb="6" eb="8">
      <t>カンリ</t>
    </rPh>
    <rPh sb="8" eb="9">
      <t>ウン</t>
    </rPh>
    <phoneticPr fontId="4"/>
  </si>
  <si>
    <r>
      <t xml:space="preserve">市民体育祭委託料
</t>
    </r>
    <r>
      <rPr>
        <b/>
        <sz val="9"/>
        <rFont val="BIZ UDゴシック"/>
        <family val="3"/>
        <charset val="128"/>
      </rPr>
      <t>【今年度の取組】</t>
    </r>
    <r>
      <rPr>
        <sz val="9"/>
        <rFont val="BIZ UDゴシック"/>
        <family val="3"/>
        <charset val="128"/>
      </rPr>
      <t xml:space="preserve">
スポーツ・レクリエーション都市宣言50周年の記念事業を実施する。</t>
    </r>
    <rPh sb="0" eb="2">
      <t>シミン</t>
    </rPh>
    <rPh sb="2" eb="5">
      <t>タイイクサイ</t>
    </rPh>
    <rPh sb="5" eb="8">
      <t>イタクリョウ</t>
    </rPh>
    <rPh sb="31" eb="35">
      <t>トシセンゲン</t>
    </rPh>
    <rPh sb="37" eb="39">
      <t>シュウネン</t>
    </rPh>
    <rPh sb="40" eb="44">
      <t>キネンジギョウ</t>
    </rPh>
    <rPh sb="45" eb="47">
      <t>ジッシ</t>
    </rPh>
    <phoneticPr fontId="4"/>
  </si>
  <si>
    <t>市民体育祭事業</t>
    <rPh sb="0" eb="2">
      <t>シミン</t>
    </rPh>
    <rPh sb="2" eb="5">
      <t>タイイクサイ</t>
    </rPh>
    <rPh sb="5" eb="7">
      <t>ジギョウ</t>
    </rPh>
    <phoneticPr fontId="4"/>
  </si>
  <si>
    <t>調理用機器購入費22,000、配送車購入費30,000等</t>
    <rPh sb="0" eb="3">
      <t>チョウリヨウ</t>
    </rPh>
    <rPh sb="3" eb="5">
      <t>キキ</t>
    </rPh>
    <rPh sb="5" eb="8">
      <t>コウニュウヒ</t>
    </rPh>
    <rPh sb="15" eb="17">
      <t>ハイソウ</t>
    </rPh>
    <rPh sb="17" eb="18">
      <t>クルマ</t>
    </rPh>
    <rPh sb="18" eb="21">
      <t>コウニュウヒ</t>
    </rPh>
    <rPh sb="27" eb="28">
      <t>トウ</t>
    </rPh>
    <phoneticPr fontId="4"/>
  </si>
  <si>
    <t>備品整備事業（給食センター）</t>
    <rPh sb="0" eb="2">
      <t>ビヒン</t>
    </rPh>
    <rPh sb="2" eb="4">
      <t>セイビ</t>
    </rPh>
    <rPh sb="4" eb="6">
      <t>ジギョウ</t>
    </rPh>
    <rPh sb="7" eb="9">
      <t>キュウショク</t>
    </rPh>
    <phoneticPr fontId="4"/>
  </si>
  <si>
    <t>給食材料費1,330,000、給食配送車運行委託料69,700等</t>
    <rPh sb="0" eb="2">
      <t>キュウショク</t>
    </rPh>
    <rPh sb="2" eb="5">
      <t>ザイリョウヒ</t>
    </rPh>
    <rPh sb="15" eb="17">
      <t>キュウショク</t>
    </rPh>
    <rPh sb="17" eb="19">
      <t>ハイソウ</t>
    </rPh>
    <rPh sb="19" eb="20">
      <t>シャ</t>
    </rPh>
    <rPh sb="20" eb="22">
      <t>ウンコウ</t>
    </rPh>
    <rPh sb="22" eb="24">
      <t>イタク</t>
    </rPh>
    <rPh sb="24" eb="25">
      <t>リョウ</t>
    </rPh>
    <rPh sb="31" eb="32">
      <t>トウ</t>
    </rPh>
    <phoneticPr fontId="4"/>
  </si>
  <si>
    <t>学校給食栄養管理事業</t>
    <rPh sb="0" eb="2">
      <t>ガッコウ</t>
    </rPh>
    <rPh sb="2" eb="4">
      <t>キュウショク</t>
    </rPh>
    <rPh sb="4" eb="6">
      <t>エイヨウ</t>
    </rPh>
    <rPh sb="6" eb="8">
      <t>カンリ</t>
    </rPh>
    <rPh sb="8" eb="10">
      <t>ジギョウ</t>
    </rPh>
    <phoneticPr fontId="4"/>
  </si>
  <si>
    <t>教職員健康診断等委託料14,700等</t>
    <rPh sb="0" eb="3">
      <t>キョウショクイン</t>
    </rPh>
    <rPh sb="3" eb="5">
      <t>ケンコウ</t>
    </rPh>
    <rPh sb="5" eb="8">
      <t>シンダントウ</t>
    </rPh>
    <rPh sb="8" eb="10">
      <t>イタク</t>
    </rPh>
    <rPh sb="10" eb="11">
      <t>リョウ</t>
    </rPh>
    <rPh sb="17" eb="18">
      <t>トウ</t>
    </rPh>
    <phoneticPr fontId="4"/>
  </si>
  <si>
    <t>教職員健康管理事業</t>
    <rPh sb="0" eb="3">
      <t>キョウショクイン</t>
    </rPh>
    <rPh sb="3" eb="5">
      <t>ケンコウ</t>
    </rPh>
    <rPh sb="5" eb="7">
      <t>カンリ</t>
    </rPh>
    <rPh sb="7" eb="9">
      <t>ジギョウ</t>
    </rPh>
    <phoneticPr fontId="4"/>
  </si>
  <si>
    <t>消耗品費40,000、図書購入費1,500</t>
    <rPh sb="0" eb="2">
      <t>ショウモウ</t>
    </rPh>
    <rPh sb="2" eb="3">
      <t>ヒン</t>
    </rPh>
    <rPh sb="3" eb="4">
      <t>ヒ</t>
    </rPh>
    <rPh sb="11" eb="13">
      <t>トショ</t>
    </rPh>
    <rPh sb="13" eb="16">
      <t>コウニュウヒ</t>
    </rPh>
    <phoneticPr fontId="4"/>
  </si>
  <si>
    <t>図書購入費</t>
    <rPh sb="0" eb="2">
      <t>トショ</t>
    </rPh>
    <rPh sb="2" eb="5">
      <t>コウニュウヒ</t>
    </rPh>
    <phoneticPr fontId="4"/>
  </si>
  <si>
    <r>
      <t xml:space="preserve">記念誌作成委託料2,800等
</t>
    </r>
    <r>
      <rPr>
        <b/>
        <sz val="9"/>
        <color theme="1"/>
        <rFont val="BIZ UDゴシック"/>
        <family val="3"/>
        <charset val="128"/>
      </rPr>
      <t>【今年度の取組】</t>
    </r>
    <r>
      <rPr>
        <sz val="9"/>
        <color theme="1"/>
        <rFont val="BIZ UDゴシック"/>
        <family val="3"/>
        <charset val="128"/>
      </rPr>
      <t xml:space="preserve">
野口冨士男文庫開設30周年を記念した記念誌を発行する。</t>
    </r>
    <rPh sb="0" eb="2">
      <t>キネン</t>
    </rPh>
    <rPh sb="2" eb="3">
      <t>シ</t>
    </rPh>
    <rPh sb="3" eb="5">
      <t>サクセイ</t>
    </rPh>
    <rPh sb="5" eb="8">
      <t>イタクリョウ</t>
    </rPh>
    <rPh sb="13" eb="14">
      <t>トウ</t>
    </rPh>
    <rPh sb="16" eb="19">
      <t>コンネンド</t>
    </rPh>
    <rPh sb="20" eb="22">
      <t>トリクミ</t>
    </rPh>
    <rPh sb="24" eb="26">
      <t>ノグチ</t>
    </rPh>
    <rPh sb="26" eb="29">
      <t>フジオ</t>
    </rPh>
    <rPh sb="29" eb="31">
      <t>ブンコ</t>
    </rPh>
    <rPh sb="31" eb="33">
      <t>カイセツ</t>
    </rPh>
    <rPh sb="35" eb="37">
      <t>シュウネン</t>
    </rPh>
    <rPh sb="38" eb="40">
      <t>キネン</t>
    </rPh>
    <rPh sb="42" eb="44">
      <t>キネン</t>
    </rPh>
    <rPh sb="44" eb="45">
      <t>シ</t>
    </rPh>
    <rPh sb="46" eb="48">
      <t>ハッコウ</t>
    </rPh>
    <phoneticPr fontId="4"/>
  </si>
  <si>
    <t>野口冨士男文庫運営事業</t>
    <rPh sb="0" eb="2">
      <t>ノグチ</t>
    </rPh>
    <rPh sb="2" eb="5">
      <t>フジオ</t>
    </rPh>
    <rPh sb="5" eb="7">
      <t>ブンコ</t>
    </rPh>
    <rPh sb="7" eb="9">
      <t>ウンエイ</t>
    </rPh>
    <rPh sb="9" eb="11">
      <t>ジギョウ</t>
    </rPh>
    <phoneticPr fontId="4"/>
  </si>
  <si>
    <t>図書館システム電算委託料34,200、電子書籍使用料8,500等</t>
    <rPh sb="0" eb="3">
      <t>トショカン</t>
    </rPh>
    <rPh sb="7" eb="9">
      <t>デンサン</t>
    </rPh>
    <rPh sb="9" eb="12">
      <t>イタクリョウ</t>
    </rPh>
    <rPh sb="19" eb="23">
      <t>デンシショセキ</t>
    </rPh>
    <rPh sb="23" eb="26">
      <t>シヨウリョウ</t>
    </rPh>
    <rPh sb="31" eb="32">
      <t>トウ</t>
    </rPh>
    <phoneticPr fontId="4"/>
  </si>
  <si>
    <t>蔵書等整備事業</t>
    <rPh sb="0" eb="3">
      <t>ゾウショトウ</t>
    </rPh>
    <rPh sb="3" eb="5">
      <t>セイビ</t>
    </rPh>
    <rPh sb="5" eb="7">
      <t>ジギョウ</t>
    </rPh>
    <phoneticPr fontId="4"/>
  </si>
  <si>
    <t>管理運営委託料593,000、施設改修工事費59,500等</t>
    <rPh sb="0" eb="2">
      <t>カンリ</t>
    </rPh>
    <rPh sb="2" eb="4">
      <t>ウンエイ</t>
    </rPh>
    <rPh sb="4" eb="6">
      <t>イタク</t>
    </rPh>
    <rPh sb="6" eb="7">
      <t>リョウ</t>
    </rPh>
    <rPh sb="15" eb="17">
      <t>シセツ</t>
    </rPh>
    <rPh sb="17" eb="19">
      <t>カイシュウ</t>
    </rPh>
    <rPh sb="19" eb="21">
      <t>コウジ</t>
    </rPh>
    <rPh sb="21" eb="22">
      <t>ヒ</t>
    </rPh>
    <rPh sb="28" eb="29">
      <t>トウ</t>
    </rPh>
    <phoneticPr fontId="4"/>
  </si>
  <si>
    <t>コミュニティセンター管理費</t>
    <rPh sb="10" eb="13">
      <t>カンリヒ</t>
    </rPh>
    <phoneticPr fontId="4"/>
  </si>
  <si>
    <r>
      <t>会計年度任用職員報酬3,010、デジタルアーカイブシステム電算委託料22,000等</t>
    </r>
    <r>
      <rPr>
        <b/>
        <sz val="9"/>
        <rFont val="BIZ UDゴシック"/>
        <family val="3"/>
        <charset val="128"/>
      </rPr>
      <t/>
    </r>
    <rPh sb="29" eb="31">
      <t>デンサン</t>
    </rPh>
    <rPh sb="31" eb="34">
      <t>イタクリョウ</t>
    </rPh>
    <rPh sb="40" eb="41">
      <t>トウ</t>
    </rPh>
    <phoneticPr fontId="4"/>
  </si>
  <si>
    <t>文化財資料等整備事業</t>
    <rPh sb="0" eb="3">
      <t>ブンカザイ</t>
    </rPh>
    <rPh sb="3" eb="6">
      <t>シリョウトウ</t>
    </rPh>
    <rPh sb="6" eb="10">
      <t>セイビジギョウ</t>
    </rPh>
    <phoneticPr fontId="4"/>
  </si>
  <si>
    <t>会計年度任用職員報酬9,070、埋蔵文化財調査補助業務委託料42,000等</t>
    <rPh sb="0" eb="2">
      <t>カイケイ</t>
    </rPh>
    <rPh sb="2" eb="4">
      <t>ネンド</t>
    </rPh>
    <rPh sb="4" eb="6">
      <t>ニンヨウ</t>
    </rPh>
    <rPh sb="6" eb="8">
      <t>ショクイン</t>
    </rPh>
    <rPh sb="8" eb="10">
      <t>ホウシュウ</t>
    </rPh>
    <rPh sb="16" eb="18">
      <t>マイゾウ</t>
    </rPh>
    <rPh sb="18" eb="21">
      <t>ブンカザイ</t>
    </rPh>
    <rPh sb="21" eb="23">
      <t>チョウサ</t>
    </rPh>
    <rPh sb="23" eb="25">
      <t>ホジョ</t>
    </rPh>
    <rPh sb="25" eb="27">
      <t>ギョウム</t>
    </rPh>
    <rPh sb="27" eb="29">
      <t>イタク</t>
    </rPh>
    <rPh sb="29" eb="30">
      <t>リョウ</t>
    </rPh>
    <rPh sb="36" eb="37">
      <t>トウ</t>
    </rPh>
    <phoneticPr fontId="4"/>
  </si>
  <si>
    <t>文化財調査事業</t>
    <rPh sb="0" eb="3">
      <t>ブンカザイ</t>
    </rPh>
    <rPh sb="3" eb="5">
      <t>チョウサ</t>
    </rPh>
    <rPh sb="5" eb="7">
      <t>ジギョウ</t>
    </rPh>
    <phoneticPr fontId="4"/>
  </si>
  <si>
    <t>会計年度任用職員報酬9,900、史料等整理委託料6,200、施設改修工事費10,800等</t>
    <rPh sb="0" eb="2">
      <t>カイケイ</t>
    </rPh>
    <rPh sb="2" eb="4">
      <t>ネンド</t>
    </rPh>
    <rPh sb="4" eb="6">
      <t>ニンヨウ</t>
    </rPh>
    <rPh sb="6" eb="8">
      <t>ショクイン</t>
    </rPh>
    <rPh sb="8" eb="10">
      <t>ホウシュウ</t>
    </rPh>
    <rPh sb="16" eb="19">
      <t>シリョウトウ</t>
    </rPh>
    <rPh sb="19" eb="24">
      <t>セイリイタクリョウ</t>
    </rPh>
    <rPh sb="30" eb="32">
      <t>シセツ</t>
    </rPh>
    <rPh sb="32" eb="34">
      <t>カイシュウ</t>
    </rPh>
    <rPh sb="34" eb="36">
      <t>コウジ</t>
    </rPh>
    <rPh sb="36" eb="37">
      <t>ヒ</t>
    </rPh>
    <rPh sb="43" eb="44">
      <t>トウ</t>
    </rPh>
    <phoneticPr fontId="4"/>
  </si>
  <si>
    <t>文化財施設管理費</t>
    <rPh sb="0" eb="3">
      <t>ブンカザイ</t>
    </rPh>
    <rPh sb="3" eb="5">
      <t>シセツ</t>
    </rPh>
    <rPh sb="5" eb="8">
      <t>カンリヒ</t>
    </rPh>
    <phoneticPr fontId="4"/>
  </si>
  <si>
    <t>講師等謝礼900、人権教育推進協議会補助金500等</t>
    <rPh sb="0" eb="3">
      <t>コウシトウ</t>
    </rPh>
    <rPh sb="3" eb="5">
      <t>シャレイ</t>
    </rPh>
    <rPh sb="9" eb="13">
      <t>ジンケンキョウイク</t>
    </rPh>
    <rPh sb="13" eb="18">
      <t>スイシンキョウギカイ</t>
    </rPh>
    <rPh sb="18" eb="21">
      <t>ホジョキン</t>
    </rPh>
    <rPh sb="24" eb="25">
      <t>トウ</t>
    </rPh>
    <phoneticPr fontId="4"/>
  </si>
  <si>
    <t>人権教育推進事業（生涯学習課）</t>
    <rPh sb="0" eb="2">
      <t>ジンケン</t>
    </rPh>
    <rPh sb="2" eb="4">
      <t>キョウイク</t>
    </rPh>
    <rPh sb="4" eb="6">
      <t>スイシン</t>
    </rPh>
    <rPh sb="6" eb="8">
      <t>ジギョウ</t>
    </rPh>
    <rPh sb="9" eb="11">
      <t>ショウガイ</t>
    </rPh>
    <rPh sb="11" eb="13">
      <t>ガクシュウ</t>
    </rPh>
    <rPh sb="13" eb="14">
      <t>カ</t>
    </rPh>
    <phoneticPr fontId="4"/>
  </si>
  <si>
    <t>就学援助費186,000、特別支援教育就学奨励費6,000</t>
    <rPh sb="0" eb="2">
      <t>シュウガク</t>
    </rPh>
    <rPh sb="2" eb="4">
      <t>エンジョ</t>
    </rPh>
    <rPh sb="4" eb="5">
      <t>ヒ</t>
    </rPh>
    <rPh sb="13" eb="15">
      <t>トクベツ</t>
    </rPh>
    <rPh sb="15" eb="17">
      <t>シエン</t>
    </rPh>
    <rPh sb="17" eb="19">
      <t>キョウイク</t>
    </rPh>
    <rPh sb="19" eb="21">
      <t>シュウガク</t>
    </rPh>
    <rPh sb="21" eb="23">
      <t>ショウレイ</t>
    </rPh>
    <rPh sb="23" eb="24">
      <t>ヒ</t>
    </rPh>
    <phoneticPr fontId="4"/>
  </si>
  <si>
    <t>就学援助事業（中学校）</t>
    <rPh sb="7" eb="10">
      <t>チュウガッコウ</t>
    </rPh>
    <phoneticPr fontId="4"/>
  </si>
  <si>
    <r>
      <t xml:space="preserve">設計委託料39,400、監理委託料24,700、設備等改修工事費1,432,000
</t>
    </r>
    <r>
      <rPr>
        <b/>
        <sz val="9"/>
        <rFont val="BIZ UDゴシック"/>
        <family val="3"/>
        <charset val="128"/>
      </rPr>
      <t>【今年度の取組】</t>
    </r>
    <r>
      <rPr>
        <sz val="9"/>
        <rFont val="BIZ UDゴシック"/>
        <family val="3"/>
        <charset val="128"/>
      </rPr>
      <t xml:space="preserve">
中学校の屋内運動場及び武道場に空調設備を設置する。</t>
    </r>
    <rPh sb="0" eb="2">
      <t>セッケイ</t>
    </rPh>
    <rPh sb="2" eb="5">
      <t>イタクリョウ</t>
    </rPh>
    <rPh sb="12" eb="14">
      <t>カンリ</t>
    </rPh>
    <rPh sb="14" eb="17">
      <t>イタクリョウ</t>
    </rPh>
    <rPh sb="51" eb="52">
      <t>チュウ</t>
    </rPh>
    <rPh sb="60" eb="61">
      <t>オヨ</t>
    </rPh>
    <rPh sb="62" eb="65">
      <t>ブドウジョウ</t>
    </rPh>
    <phoneticPr fontId="4"/>
  </si>
  <si>
    <t>屋内運動場等空調設備設置事業（中学校）</t>
    <rPh sb="0" eb="2">
      <t>オクナイ</t>
    </rPh>
    <rPh sb="2" eb="5">
      <t>ウンドウジョウ</t>
    </rPh>
    <rPh sb="5" eb="6">
      <t>トウ</t>
    </rPh>
    <rPh sb="6" eb="8">
      <t>クウチョウ</t>
    </rPh>
    <rPh sb="8" eb="10">
      <t>セツビ</t>
    </rPh>
    <rPh sb="10" eb="12">
      <t>セッチ</t>
    </rPh>
    <rPh sb="12" eb="14">
      <t>ジギョウ</t>
    </rPh>
    <rPh sb="15" eb="16">
      <t>チュウ</t>
    </rPh>
    <phoneticPr fontId="4"/>
  </si>
  <si>
    <t>空調設備維持管理委託料35,400、空調設備購入費15,500</t>
    <rPh sb="0" eb="2">
      <t>クウチョウ</t>
    </rPh>
    <rPh sb="2" eb="4">
      <t>セツビ</t>
    </rPh>
    <rPh sb="4" eb="6">
      <t>イジ</t>
    </rPh>
    <rPh sb="6" eb="8">
      <t>カンリ</t>
    </rPh>
    <rPh sb="8" eb="10">
      <t>イタク</t>
    </rPh>
    <rPh sb="10" eb="11">
      <t>リョウ</t>
    </rPh>
    <rPh sb="18" eb="20">
      <t>クウチョウ</t>
    </rPh>
    <rPh sb="20" eb="22">
      <t>セツビ</t>
    </rPh>
    <rPh sb="22" eb="24">
      <t>コウニュウ</t>
    </rPh>
    <rPh sb="24" eb="25">
      <t>ヒ</t>
    </rPh>
    <phoneticPr fontId="4"/>
  </si>
  <si>
    <t>空調設備設置事業（中学校）</t>
    <rPh sb="0" eb="2">
      <t>クウチョウ</t>
    </rPh>
    <rPh sb="2" eb="4">
      <t>セツビ</t>
    </rPh>
    <rPh sb="4" eb="6">
      <t>セッチ</t>
    </rPh>
    <rPh sb="6" eb="8">
      <t>ジギョウ</t>
    </rPh>
    <rPh sb="9" eb="10">
      <t>チュウ</t>
    </rPh>
    <phoneticPr fontId="4"/>
  </si>
  <si>
    <r>
      <t xml:space="preserve">学校施設状況調査委託料11,000、校舎改修工事費59,400、設備等改修工事費193,300、校庭改修工事費302,000等
</t>
    </r>
    <r>
      <rPr>
        <b/>
        <sz val="9"/>
        <rFont val="BIZ UDゴシック"/>
        <family val="3"/>
        <charset val="128"/>
      </rPr>
      <t>【今年度の取組】</t>
    </r>
    <r>
      <rPr>
        <sz val="9"/>
        <rFont val="BIZ UDゴシック"/>
        <family val="3"/>
        <charset val="128"/>
      </rPr>
      <t xml:space="preserve">
中学校の校舎及び屋内運動場をＬＥＤ照明に切り替える。</t>
    </r>
    <rPh sb="18" eb="20">
      <t>コウシャ</t>
    </rPh>
    <rPh sb="20" eb="22">
      <t>カイシュウ</t>
    </rPh>
    <rPh sb="22" eb="25">
      <t>コウジヒ</t>
    </rPh>
    <rPh sb="32" eb="35">
      <t>セツビトウ</t>
    </rPh>
    <rPh sb="35" eb="40">
      <t>カイシュウコウジヒ</t>
    </rPh>
    <rPh sb="62" eb="63">
      <t>トウ</t>
    </rPh>
    <rPh sb="73" eb="74">
      <t>チュウ</t>
    </rPh>
    <phoneticPr fontId="4"/>
  </si>
  <si>
    <t>中学校施設改修費</t>
  </si>
  <si>
    <t>光熱水費120,000、施設定期検査委託料9,000、防犯用カメラ借上料2,720等</t>
    <rPh sb="0" eb="4">
      <t>コウネツスイヒ</t>
    </rPh>
    <rPh sb="12" eb="18">
      <t>シセツテイキケンサ</t>
    </rPh>
    <rPh sb="18" eb="21">
      <t>イタクリョウ</t>
    </rPh>
    <phoneticPr fontId="4"/>
  </si>
  <si>
    <t>中学校施設管理費</t>
    <rPh sb="0" eb="1">
      <t>チュウ</t>
    </rPh>
    <rPh sb="5" eb="7">
      <t>カンリ</t>
    </rPh>
    <phoneticPr fontId="4"/>
  </si>
  <si>
    <t>モニタリング業務委託料</t>
    <rPh sb="6" eb="8">
      <t>ギョウム</t>
    </rPh>
    <rPh sb="8" eb="11">
      <t>イタクリョウ</t>
    </rPh>
    <phoneticPr fontId="4"/>
  </si>
  <si>
    <t>小中一貫校整備事業</t>
    <rPh sb="0" eb="9">
      <t>ショウチュウイッカンコウセイビジギョウ</t>
    </rPh>
    <phoneticPr fontId="4"/>
  </si>
  <si>
    <r>
      <t>川柳小仮設教室借上料146,400、蒲生第二小仮設教室借上料58,460等</t>
    </r>
    <r>
      <rPr>
        <b/>
        <sz val="9"/>
        <rFont val="BIZ UDゴシック"/>
        <family val="3"/>
        <charset val="128"/>
      </rPr>
      <t/>
    </r>
    <rPh sb="9" eb="10">
      <t>リョウ</t>
    </rPh>
    <rPh sb="29" eb="30">
      <t>リョウ</t>
    </rPh>
    <rPh sb="36" eb="37">
      <t>トウ</t>
    </rPh>
    <phoneticPr fontId="4"/>
  </si>
  <si>
    <t>仮設教室借上事業</t>
    <rPh sb="7" eb="8">
      <t>ギョウ</t>
    </rPh>
    <phoneticPr fontId="4"/>
  </si>
  <si>
    <t>就学援助費176,000、特別支援教育就学奨励費7,000</t>
    <rPh sb="0" eb="2">
      <t>シュウガク</t>
    </rPh>
    <rPh sb="2" eb="4">
      <t>エンジョ</t>
    </rPh>
    <rPh sb="4" eb="5">
      <t>ヒ</t>
    </rPh>
    <rPh sb="13" eb="15">
      <t>トクベツ</t>
    </rPh>
    <rPh sb="15" eb="17">
      <t>シエン</t>
    </rPh>
    <rPh sb="17" eb="19">
      <t>キョウイク</t>
    </rPh>
    <rPh sb="19" eb="21">
      <t>シュウガク</t>
    </rPh>
    <rPh sb="21" eb="23">
      <t>ショウレイ</t>
    </rPh>
    <rPh sb="23" eb="24">
      <t>ヒ</t>
    </rPh>
    <phoneticPr fontId="4"/>
  </si>
  <si>
    <t>就学援助事業（小学校）</t>
    <rPh sb="7" eb="10">
      <t>ショウガッコウ</t>
    </rPh>
    <phoneticPr fontId="4"/>
  </si>
  <si>
    <r>
      <t xml:space="preserve">設計委託料45,200、監理委託料24,800、設備等改修工事費1,022,000
</t>
    </r>
    <r>
      <rPr>
        <b/>
        <sz val="9"/>
        <color theme="1"/>
        <rFont val="BIZ UDゴシック"/>
        <family val="3"/>
        <charset val="128"/>
      </rPr>
      <t>【今年度の取組】</t>
    </r>
    <r>
      <rPr>
        <sz val="9"/>
        <color theme="1"/>
        <rFont val="BIZ UDゴシック"/>
        <family val="3"/>
        <charset val="128"/>
      </rPr>
      <t xml:space="preserve">
小学校の屋内運動場に空調設備を設置する。</t>
    </r>
    <rPh sb="0" eb="2">
      <t>セッケイ</t>
    </rPh>
    <rPh sb="2" eb="4">
      <t>イタク</t>
    </rPh>
    <rPh sb="4" eb="5">
      <t>リョウ</t>
    </rPh>
    <rPh sb="12" eb="14">
      <t>カンリ</t>
    </rPh>
    <rPh sb="14" eb="17">
      <t>イタクリョウ</t>
    </rPh>
    <rPh sb="24" eb="26">
      <t>セツビ</t>
    </rPh>
    <rPh sb="26" eb="27">
      <t>トウ</t>
    </rPh>
    <rPh sb="27" eb="29">
      <t>カイシュウ</t>
    </rPh>
    <rPh sb="29" eb="31">
      <t>コウジ</t>
    </rPh>
    <rPh sb="31" eb="32">
      <t>ヒ</t>
    </rPh>
    <rPh sb="61" eb="65">
      <t>クウチョウセツビ</t>
    </rPh>
    <rPh sb="66" eb="68">
      <t>セッチ</t>
    </rPh>
    <phoneticPr fontId="4"/>
  </si>
  <si>
    <t>屋内運動場空調設備設置事業（小学校）</t>
    <rPh sb="0" eb="2">
      <t>オクナイ</t>
    </rPh>
    <rPh sb="2" eb="5">
      <t>ウンドウジョウ</t>
    </rPh>
    <rPh sb="5" eb="7">
      <t>クウチョウ</t>
    </rPh>
    <rPh sb="7" eb="9">
      <t>セツビ</t>
    </rPh>
    <rPh sb="9" eb="11">
      <t>セッチ</t>
    </rPh>
    <rPh sb="11" eb="13">
      <t>ジギョウ</t>
    </rPh>
    <phoneticPr fontId="4"/>
  </si>
  <si>
    <t>空調設備維持管理委託料76,100、空調設備購入費30,300</t>
    <rPh sb="0" eb="2">
      <t>クウチョウ</t>
    </rPh>
    <rPh sb="2" eb="4">
      <t>セツビ</t>
    </rPh>
    <rPh sb="4" eb="6">
      <t>イジ</t>
    </rPh>
    <rPh sb="6" eb="8">
      <t>カンリ</t>
    </rPh>
    <rPh sb="8" eb="10">
      <t>イタク</t>
    </rPh>
    <rPh sb="10" eb="11">
      <t>リョウ</t>
    </rPh>
    <rPh sb="18" eb="20">
      <t>クウチョウ</t>
    </rPh>
    <rPh sb="20" eb="22">
      <t>セツビ</t>
    </rPh>
    <rPh sb="22" eb="24">
      <t>コウニュウ</t>
    </rPh>
    <rPh sb="24" eb="25">
      <t>ヒ</t>
    </rPh>
    <phoneticPr fontId="4"/>
  </si>
  <si>
    <t>空調設備設置事業（小学校）</t>
    <rPh sb="0" eb="2">
      <t>クウチョウ</t>
    </rPh>
    <rPh sb="2" eb="4">
      <t>セツビ</t>
    </rPh>
    <rPh sb="4" eb="6">
      <t>セッチ</t>
    </rPh>
    <rPh sb="6" eb="8">
      <t>ジギョウ</t>
    </rPh>
    <phoneticPr fontId="4"/>
  </si>
  <si>
    <r>
      <t xml:space="preserve">修繕料56,300、学校施設状況調査委託料7,600、校舎改修工事費407,000、設備等改修工事費401,700等
</t>
    </r>
    <r>
      <rPr>
        <b/>
        <sz val="9"/>
        <color theme="1"/>
        <rFont val="BIZ UDゴシック"/>
        <family val="3"/>
        <charset val="128"/>
      </rPr>
      <t>【今年度の取組】</t>
    </r>
    <r>
      <rPr>
        <sz val="9"/>
        <color theme="1"/>
        <rFont val="BIZ UDゴシック"/>
        <family val="3"/>
        <charset val="128"/>
      </rPr>
      <t xml:space="preserve">
小学校の校舎及び屋内運動場をＬＥＤ照明に切り替える。</t>
    </r>
    <rPh sb="27" eb="29">
      <t>コウシャ</t>
    </rPh>
    <rPh sb="29" eb="31">
      <t>カイシュウ</t>
    </rPh>
    <rPh sb="31" eb="33">
      <t>コウジ</t>
    </rPh>
    <rPh sb="33" eb="34">
      <t>ヒ</t>
    </rPh>
    <rPh sb="42" eb="45">
      <t>セツビトウ</t>
    </rPh>
    <rPh sb="45" eb="50">
      <t>カイシュウコウジヒ</t>
    </rPh>
    <rPh sb="57" eb="58">
      <t>トウ</t>
    </rPh>
    <rPh sb="68" eb="71">
      <t>ショウガッコウ</t>
    </rPh>
    <rPh sb="72" eb="74">
      <t>コウシャ</t>
    </rPh>
    <rPh sb="74" eb="75">
      <t>オヨ</t>
    </rPh>
    <rPh sb="76" eb="81">
      <t>オクナイウンドウジョウ</t>
    </rPh>
    <rPh sb="85" eb="87">
      <t>ショウメイ</t>
    </rPh>
    <rPh sb="88" eb="89">
      <t>キ</t>
    </rPh>
    <rPh sb="90" eb="91">
      <t>カ</t>
    </rPh>
    <phoneticPr fontId="4"/>
  </si>
  <si>
    <t>小学校施設改修費</t>
  </si>
  <si>
    <t>光熱水費260,000、施設定期検査委託料17,000、防犯用カメラ借上料13,700等</t>
    <rPh sb="0" eb="4">
      <t>コウネツスイヒ</t>
    </rPh>
    <rPh sb="12" eb="18">
      <t>シセツテイキケンサ</t>
    </rPh>
    <rPh sb="18" eb="21">
      <t>イタクリョウ</t>
    </rPh>
    <rPh sb="28" eb="31">
      <t>ボウハンヨウ</t>
    </rPh>
    <rPh sb="34" eb="36">
      <t>カリア</t>
    </rPh>
    <rPh sb="36" eb="37">
      <t>リョウ</t>
    </rPh>
    <rPh sb="43" eb="44">
      <t>トウ</t>
    </rPh>
    <phoneticPr fontId="4"/>
  </si>
  <si>
    <t>小学校施設管理費</t>
    <rPh sb="5" eb="7">
      <t>カンリ</t>
    </rPh>
    <phoneticPr fontId="4"/>
  </si>
  <si>
    <t>入学準備金</t>
    <phoneticPr fontId="4"/>
  </si>
  <si>
    <t>入学準備金貸付事業</t>
  </si>
  <si>
    <t>光熱水費10,000、科学技術体験センター管理運営等委託料57,000等</t>
    <rPh sb="0" eb="4">
      <t>コウネツスイヒ</t>
    </rPh>
    <rPh sb="11" eb="13">
      <t>カガク</t>
    </rPh>
    <rPh sb="13" eb="15">
      <t>ギジュツ</t>
    </rPh>
    <rPh sb="15" eb="17">
      <t>タイケン</t>
    </rPh>
    <rPh sb="21" eb="23">
      <t>カンリ</t>
    </rPh>
    <rPh sb="23" eb="26">
      <t>ウンエイナド</t>
    </rPh>
    <rPh sb="26" eb="29">
      <t>イタクリョウ</t>
    </rPh>
    <phoneticPr fontId="4"/>
  </si>
  <si>
    <t>科学技術体験センター管理運営費</t>
    <rPh sb="0" eb="2">
      <t>カガク</t>
    </rPh>
    <rPh sb="2" eb="4">
      <t>ギジュツ</t>
    </rPh>
    <rPh sb="4" eb="6">
      <t>タイケン</t>
    </rPh>
    <rPh sb="10" eb="12">
      <t>カンリ</t>
    </rPh>
    <rPh sb="12" eb="15">
      <t>ウンエイヒ</t>
    </rPh>
    <phoneticPr fontId="4"/>
  </si>
  <si>
    <r>
      <t>校内系ネットワーク保守管理等委託料547,000、情報処理機器等借上料113,500等</t>
    </r>
    <r>
      <rPr>
        <b/>
        <sz val="9"/>
        <rFont val="BIZ UDゴシック"/>
        <family val="3"/>
        <charset val="128"/>
      </rPr>
      <t/>
    </r>
    <rPh sb="0" eb="2">
      <t>コウナイ</t>
    </rPh>
    <rPh sb="2" eb="3">
      <t>ケイ</t>
    </rPh>
    <rPh sb="9" eb="11">
      <t>ホシュ</t>
    </rPh>
    <rPh sb="11" eb="13">
      <t>カンリ</t>
    </rPh>
    <rPh sb="13" eb="14">
      <t>ナド</t>
    </rPh>
    <rPh sb="14" eb="17">
      <t>イタクリョウ</t>
    </rPh>
    <rPh sb="25" eb="27">
      <t>ジョウホウ</t>
    </rPh>
    <rPh sb="42" eb="43">
      <t>ナド</t>
    </rPh>
    <phoneticPr fontId="4"/>
  </si>
  <si>
    <t>校内系ネットワーク運用事業</t>
    <rPh sb="0" eb="2">
      <t>コウナイ</t>
    </rPh>
    <rPh sb="2" eb="3">
      <t>ケイ</t>
    </rPh>
    <rPh sb="9" eb="11">
      <t>ウンヨウ</t>
    </rPh>
    <rPh sb="11" eb="13">
      <t>ジギョウ</t>
    </rPh>
    <phoneticPr fontId="4"/>
  </si>
  <si>
    <t>学校系ネットワーク保守管理等委託料221,800、情報処理機器等借上料97,000等</t>
    <rPh sb="0" eb="2">
      <t>ガッコウ</t>
    </rPh>
    <rPh sb="2" eb="3">
      <t>ケイ</t>
    </rPh>
    <rPh sb="9" eb="11">
      <t>ホシュ</t>
    </rPh>
    <rPh sb="11" eb="13">
      <t>カンリ</t>
    </rPh>
    <rPh sb="13" eb="14">
      <t>ナド</t>
    </rPh>
    <rPh sb="14" eb="17">
      <t>イタクリョウ</t>
    </rPh>
    <rPh sb="25" eb="27">
      <t>ジョウホウ</t>
    </rPh>
    <phoneticPr fontId="4"/>
  </si>
  <si>
    <t>学校系ネットワーク運用事業</t>
    <rPh sb="0" eb="2">
      <t>ガッコウ</t>
    </rPh>
    <rPh sb="2" eb="3">
      <t>ケイ</t>
    </rPh>
    <rPh sb="9" eb="11">
      <t>ウンヨウ</t>
    </rPh>
    <rPh sb="11" eb="13">
      <t>ジギョウ</t>
    </rPh>
    <phoneticPr fontId="4"/>
  </si>
  <si>
    <t>障がい児就学支援委員会委員報酬130、発達支援訪問指導員謝礼2,700等</t>
    <rPh sb="0" eb="1">
      <t>ショウ</t>
    </rPh>
    <rPh sb="3" eb="4">
      <t>ジ</t>
    </rPh>
    <rPh sb="4" eb="6">
      <t>シュウガク</t>
    </rPh>
    <rPh sb="6" eb="8">
      <t>シエン</t>
    </rPh>
    <rPh sb="8" eb="11">
      <t>イインカイ</t>
    </rPh>
    <rPh sb="11" eb="13">
      <t>イイン</t>
    </rPh>
    <rPh sb="13" eb="15">
      <t>ホウシュウ</t>
    </rPh>
    <rPh sb="19" eb="21">
      <t>ハッタツ</t>
    </rPh>
    <rPh sb="21" eb="23">
      <t>シエン</t>
    </rPh>
    <rPh sb="23" eb="25">
      <t>ホウモン</t>
    </rPh>
    <rPh sb="25" eb="28">
      <t>シドウイン</t>
    </rPh>
    <rPh sb="28" eb="30">
      <t>シャレイ</t>
    </rPh>
    <rPh sb="35" eb="36">
      <t>ナド</t>
    </rPh>
    <phoneticPr fontId="4"/>
  </si>
  <si>
    <t>特別支援教育推進事業</t>
    <rPh sb="0" eb="2">
      <t>トクベツ</t>
    </rPh>
    <rPh sb="2" eb="4">
      <t>シエン</t>
    </rPh>
    <rPh sb="4" eb="6">
      <t>キョウイク</t>
    </rPh>
    <rPh sb="6" eb="8">
      <t>スイシン</t>
    </rPh>
    <rPh sb="8" eb="10">
      <t>ジギョウ</t>
    </rPh>
    <phoneticPr fontId="4"/>
  </si>
  <si>
    <r>
      <t xml:space="preserve">会計年度任用職員報酬74,600、会計年度任用職員期末手当9,800等
</t>
    </r>
    <r>
      <rPr>
        <b/>
        <sz val="9"/>
        <color theme="1"/>
        <rFont val="BIZ UDゴシック"/>
        <family val="3"/>
        <charset val="128"/>
      </rPr>
      <t>【今年度の取組】</t>
    </r>
    <r>
      <rPr>
        <sz val="9"/>
        <color theme="1"/>
        <rFont val="BIZ UDゴシック"/>
        <family val="3"/>
        <charset val="128"/>
      </rPr>
      <t xml:space="preserve">
適応指導教室おあしすを1教室増設する。（科学技術体験センター内）</t>
    </r>
    <rPh sb="0" eb="2">
      <t>カイケイ</t>
    </rPh>
    <rPh sb="2" eb="4">
      <t>ネンド</t>
    </rPh>
    <rPh sb="4" eb="6">
      <t>ニンヨウ</t>
    </rPh>
    <rPh sb="6" eb="8">
      <t>ショクイン</t>
    </rPh>
    <rPh sb="8" eb="10">
      <t>ホウシュウ</t>
    </rPh>
    <rPh sb="17" eb="19">
      <t>カイケイ</t>
    </rPh>
    <rPh sb="19" eb="21">
      <t>ネンド</t>
    </rPh>
    <rPh sb="21" eb="23">
      <t>ニンヨウ</t>
    </rPh>
    <rPh sb="23" eb="25">
      <t>ショクイン</t>
    </rPh>
    <rPh sb="25" eb="27">
      <t>キマツ</t>
    </rPh>
    <rPh sb="27" eb="29">
      <t>テアテ</t>
    </rPh>
    <rPh sb="34" eb="35">
      <t>トウ</t>
    </rPh>
    <rPh sb="45" eb="47">
      <t>テキオウ</t>
    </rPh>
    <rPh sb="47" eb="49">
      <t>シドウ</t>
    </rPh>
    <rPh sb="49" eb="51">
      <t>キョウシツ</t>
    </rPh>
    <rPh sb="57" eb="59">
      <t>キョウシツ</t>
    </rPh>
    <rPh sb="59" eb="61">
      <t>ゾウセツ</t>
    </rPh>
    <rPh sb="65" eb="67">
      <t>カガク</t>
    </rPh>
    <rPh sb="67" eb="69">
      <t>ギジュツ</t>
    </rPh>
    <rPh sb="69" eb="71">
      <t>タイケン</t>
    </rPh>
    <rPh sb="75" eb="76">
      <t>ナイ</t>
    </rPh>
    <phoneticPr fontId="4"/>
  </si>
  <si>
    <t>教育相談事業</t>
    <rPh sb="0" eb="2">
      <t>キョウイク</t>
    </rPh>
    <rPh sb="2" eb="4">
      <t>ソウダン</t>
    </rPh>
    <rPh sb="4" eb="6">
      <t>ジギョウ</t>
    </rPh>
    <phoneticPr fontId="4"/>
  </si>
  <si>
    <t>教職員研修委託料2,400等</t>
    <rPh sb="0" eb="3">
      <t>キョウショクイン</t>
    </rPh>
    <rPh sb="3" eb="5">
      <t>ケンシュウ</t>
    </rPh>
    <rPh sb="5" eb="7">
      <t>イタク</t>
    </rPh>
    <rPh sb="7" eb="8">
      <t>リョウ</t>
    </rPh>
    <rPh sb="13" eb="14">
      <t>トウ</t>
    </rPh>
    <phoneticPr fontId="4"/>
  </si>
  <si>
    <t>教職員研修事業</t>
    <rPh sb="0" eb="3">
      <t>キョウショクイン</t>
    </rPh>
    <rPh sb="3" eb="5">
      <t>ケンシュウ</t>
    </rPh>
    <rPh sb="5" eb="7">
      <t>ジギョウ</t>
    </rPh>
    <phoneticPr fontId="4"/>
  </si>
  <si>
    <t>会計年度任用職員報酬9,100、教育研究会等負担金2,450等</t>
    <rPh sb="0" eb="2">
      <t>カイケイ</t>
    </rPh>
    <rPh sb="2" eb="4">
      <t>ネンド</t>
    </rPh>
    <rPh sb="4" eb="6">
      <t>ニンヨウ</t>
    </rPh>
    <rPh sb="6" eb="8">
      <t>ショクイン</t>
    </rPh>
    <rPh sb="8" eb="10">
      <t>ホウシュウ</t>
    </rPh>
    <rPh sb="16" eb="22">
      <t>キョウイクケンキュウカイトウ</t>
    </rPh>
    <rPh sb="22" eb="25">
      <t>フタンキン</t>
    </rPh>
    <rPh sb="30" eb="31">
      <t>トウ</t>
    </rPh>
    <phoneticPr fontId="4"/>
  </si>
  <si>
    <t>教育研究事業</t>
    <rPh sb="0" eb="2">
      <t>キョウイク</t>
    </rPh>
    <rPh sb="2" eb="4">
      <t>ケンキュウ</t>
    </rPh>
    <rPh sb="4" eb="6">
      <t>ジギョウ</t>
    </rPh>
    <phoneticPr fontId="4"/>
  </si>
  <si>
    <t>消耗品費2,500、社会科副読本等制作委託料2,400等</t>
    <rPh sb="0" eb="4">
      <t>ショウモウヒンヒ</t>
    </rPh>
    <rPh sb="10" eb="13">
      <t>シャカイカ</t>
    </rPh>
    <rPh sb="13" eb="17">
      <t>フクドクホントウ</t>
    </rPh>
    <rPh sb="17" eb="19">
      <t>セイサク</t>
    </rPh>
    <rPh sb="19" eb="22">
      <t>イタクリョウ</t>
    </rPh>
    <rPh sb="27" eb="28">
      <t>トウ</t>
    </rPh>
    <phoneticPr fontId="4"/>
  </si>
  <si>
    <t>副読本等整備事業</t>
    <rPh sb="0" eb="4">
      <t>フクドクホントウ</t>
    </rPh>
    <rPh sb="4" eb="8">
      <t>セイビジギョウ</t>
    </rPh>
    <phoneticPr fontId="4"/>
  </si>
  <si>
    <t>講師等謝礼980、視聴覚器材購入費480等</t>
    <rPh sb="0" eb="3">
      <t>コウシトウ</t>
    </rPh>
    <rPh sb="3" eb="5">
      <t>シャレイ</t>
    </rPh>
    <rPh sb="9" eb="12">
      <t>シチョウカク</t>
    </rPh>
    <rPh sb="12" eb="14">
      <t>キザイ</t>
    </rPh>
    <rPh sb="14" eb="17">
      <t>コウニュウヒ</t>
    </rPh>
    <rPh sb="20" eb="21">
      <t>トウ</t>
    </rPh>
    <phoneticPr fontId="4"/>
  </si>
  <si>
    <t>人権教育推進事業（指導課）</t>
    <rPh sb="0" eb="2">
      <t>ジンケン</t>
    </rPh>
    <rPh sb="2" eb="4">
      <t>キョウイク</t>
    </rPh>
    <rPh sb="4" eb="6">
      <t>スイシン</t>
    </rPh>
    <rPh sb="6" eb="8">
      <t>ジギョウ</t>
    </rPh>
    <rPh sb="9" eb="11">
      <t>シドウ</t>
    </rPh>
    <rPh sb="11" eb="12">
      <t>カ</t>
    </rPh>
    <phoneticPr fontId="4"/>
  </si>
  <si>
    <t>研究委嘱校等支援事業委託料</t>
    <rPh sb="0" eb="5">
      <t>ケンキュウイショクコウ</t>
    </rPh>
    <rPh sb="5" eb="6">
      <t>トウ</t>
    </rPh>
    <rPh sb="6" eb="10">
      <t>シエンジギョウ</t>
    </rPh>
    <rPh sb="10" eb="13">
      <t>イタクリョウ</t>
    </rPh>
    <phoneticPr fontId="4"/>
  </si>
  <si>
    <t>研究委嘱校等支援事業</t>
  </si>
  <si>
    <r>
      <t xml:space="preserve">会計年度任用職員報酬41,910、会計年度任用職員期末手当8,230等
</t>
    </r>
    <r>
      <rPr>
        <b/>
        <sz val="9"/>
        <color theme="1"/>
        <rFont val="BIZ UDゴシック"/>
        <family val="3"/>
        <charset val="128"/>
      </rPr>
      <t>【今年度の取組】</t>
    </r>
    <r>
      <rPr>
        <sz val="9"/>
        <color theme="1"/>
        <rFont val="BIZ UDゴシック"/>
        <family val="3"/>
        <charset val="128"/>
      </rPr>
      <t xml:space="preserve">
学校司書を1名増員する。</t>
    </r>
    <rPh sb="0" eb="2">
      <t>カイケイ</t>
    </rPh>
    <rPh sb="2" eb="4">
      <t>ネンド</t>
    </rPh>
    <rPh sb="4" eb="6">
      <t>ニンヨウ</t>
    </rPh>
    <rPh sb="6" eb="8">
      <t>ショクイン</t>
    </rPh>
    <rPh sb="8" eb="10">
      <t>ホウシュウ</t>
    </rPh>
    <rPh sb="23" eb="25">
      <t>ショクイン</t>
    </rPh>
    <rPh sb="25" eb="29">
      <t>キマツテアテ</t>
    </rPh>
    <rPh sb="34" eb="35">
      <t>ナド</t>
    </rPh>
    <rPh sb="45" eb="47">
      <t>ガッコウ</t>
    </rPh>
    <rPh sb="47" eb="49">
      <t>シショ</t>
    </rPh>
    <rPh sb="51" eb="52">
      <t>メイ</t>
    </rPh>
    <rPh sb="52" eb="54">
      <t>ゾウイン</t>
    </rPh>
    <phoneticPr fontId="4"/>
  </si>
  <si>
    <t>学校図書館運営活性化事業</t>
    <rPh sb="0" eb="2">
      <t>ガッコウ</t>
    </rPh>
    <rPh sb="2" eb="4">
      <t>トショ</t>
    </rPh>
    <rPh sb="4" eb="5">
      <t>カン</t>
    </rPh>
    <rPh sb="5" eb="7">
      <t>ウンエイ</t>
    </rPh>
    <rPh sb="7" eb="10">
      <t>カッセイカ</t>
    </rPh>
    <rPh sb="10" eb="12">
      <t>ジギョウ</t>
    </rPh>
    <phoneticPr fontId="4"/>
  </si>
  <si>
    <r>
      <t xml:space="preserve">日本語指導員謝礼6,000、スクールロイヤー委託料2,700等
</t>
    </r>
    <r>
      <rPr>
        <b/>
        <sz val="9"/>
        <color theme="1"/>
        <rFont val="BIZ UDゴシック"/>
        <family val="3"/>
        <charset val="128"/>
      </rPr>
      <t>【今年度の取組】</t>
    </r>
    <r>
      <rPr>
        <sz val="9"/>
        <color theme="1"/>
        <rFont val="BIZ UDゴシック"/>
        <family val="3"/>
        <charset val="128"/>
      </rPr>
      <t xml:space="preserve">
学校現場の複雑・多様な事案へ対応するため、スクールロイヤーへの相談体制を整備する。</t>
    </r>
    <rPh sb="30" eb="31">
      <t>トウ</t>
    </rPh>
    <phoneticPr fontId="4"/>
  </si>
  <si>
    <t>学校教育推進事業</t>
    <rPh sb="0" eb="2">
      <t>ガッコウ</t>
    </rPh>
    <rPh sb="2" eb="4">
      <t>キョウイク</t>
    </rPh>
    <rPh sb="4" eb="6">
      <t>スイシン</t>
    </rPh>
    <rPh sb="6" eb="8">
      <t>ジギョウ</t>
    </rPh>
    <phoneticPr fontId="4"/>
  </si>
  <si>
    <t>外国語指導助手派遣手数料</t>
    <rPh sb="0" eb="3">
      <t>ガイコクゴ</t>
    </rPh>
    <rPh sb="3" eb="5">
      <t>シドウ</t>
    </rPh>
    <rPh sb="5" eb="7">
      <t>ジョシュ</t>
    </rPh>
    <rPh sb="7" eb="9">
      <t>ハケン</t>
    </rPh>
    <rPh sb="9" eb="12">
      <t>テスウリョウ</t>
    </rPh>
    <phoneticPr fontId="4"/>
  </si>
  <si>
    <t>外国語指導事業</t>
    <rPh sb="0" eb="3">
      <t>ガイコクゴ</t>
    </rPh>
    <rPh sb="3" eb="5">
      <t>シドウ</t>
    </rPh>
    <rPh sb="5" eb="7">
      <t>ジギョウ</t>
    </rPh>
    <phoneticPr fontId="4"/>
  </si>
  <si>
    <r>
      <t>教育振興基本計画策定支援業務委託料</t>
    </r>
    <r>
      <rPr>
        <b/>
        <sz val="9"/>
        <rFont val="BIZ UDゴシック"/>
        <family val="3"/>
        <charset val="128"/>
      </rPr>
      <t/>
    </r>
    <rPh sb="0" eb="2">
      <t>キョウイク</t>
    </rPh>
    <rPh sb="2" eb="4">
      <t>シンコウ</t>
    </rPh>
    <rPh sb="4" eb="6">
      <t>キホン</t>
    </rPh>
    <rPh sb="6" eb="8">
      <t>ケイカク</t>
    </rPh>
    <rPh sb="8" eb="10">
      <t>サクテイ</t>
    </rPh>
    <rPh sb="10" eb="12">
      <t>シエン</t>
    </rPh>
    <rPh sb="12" eb="14">
      <t>ギョウム</t>
    </rPh>
    <rPh sb="14" eb="17">
      <t>イタクリョウ</t>
    </rPh>
    <phoneticPr fontId="4"/>
  </si>
  <si>
    <t>教育振興基本計画策定事業</t>
    <phoneticPr fontId="4"/>
  </si>
  <si>
    <r>
      <t>会計年度任用職員報酬109,200、会計年度任用職員期末手当9,540等</t>
    </r>
    <r>
      <rPr>
        <b/>
        <sz val="9"/>
        <color theme="1"/>
        <rFont val="BIZ UDゴシック"/>
        <family val="3"/>
        <charset val="128"/>
      </rPr>
      <t/>
    </r>
    <rPh sb="0" eb="2">
      <t>カイケイ</t>
    </rPh>
    <rPh sb="2" eb="4">
      <t>ネンド</t>
    </rPh>
    <rPh sb="4" eb="6">
      <t>ニンヨウ</t>
    </rPh>
    <rPh sb="6" eb="8">
      <t>ショクイン</t>
    </rPh>
    <rPh sb="8" eb="10">
      <t>ホウシュウ</t>
    </rPh>
    <rPh sb="18" eb="22">
      <t>カイケイネンド</t>
    </rPh>
    <rPh sb="22" eb="26">
      <t>ニンヨウショクイン</t>
    </rPh>
    <rPh sb="26" eb="28">
      <t>キマツ</t>
    </rPh>
    <rPh sb="28" eb="30">
      <t>テアテ</t>
    </rPh>
    <rPh sb="35" eb="36">
      <t>トウ</t>
    </rPh>
    <phoneticPr fontId="4"/>
  </si>
  <si>
    <t>特別支援教育支援員等配置事業</t>
    <phoneticPr fontId="4"/>
  </si>
  <si>
    <t>教育費</t>
    <rPh sb="0" eb="2">
      <t>キョウイク</t>
    </rPh>
    <rPh sb="2" eb="3">
      <t>ヒ</t>
    </rPh>
    <phoneticPr fontId="4"/>
  </si>
  <si>
    <r>
      <t>消防ポンプ自動車購入費</t>
    </r>
    <r>
      <rPr>
        <b/>
        <sz val="9"/>
        <rFont val="BIZ UDゴシック"/>
        <family val="3"/>
        <charset val="128"/>
      </rPr>
      <t/>
    </r>
    <rPh sb="0" eb="2">
      <t>ショウボウ</t>
    </rPh>
    <rPh sb="5" eb="8">
      <t>ジドウシャ</t>
    </rPh>
    <rPh sb="8" eb="11">
      <t>コウニュウヒ</t>
    </rPh>
    <phoneticPr fontId="4"/>
  </si>
  <si>
    <t>消防自動車等整備事業</t>
    <rPh sb="0" eb="2">
      <t>ショウボウ</t>
    </rPh>
    <rPh sb="2" eb="5">
      <t>ジドウシャ</t>
    </rPh>
    <rPh sb="5" eb="6">
      <t>トウ</t>
    </rPh>
    <rPh sb="6" eb="8">
      <t>セイビ</t>
    </rPh>
    <rPh sb="8" eb="10">
      <t>ジギョウ</t>
    </rPh>
    <phoneticPr fontId="4"/>
  </si>
  <si>
    <t>高規格救急自動車購入費21,000、高度救命処置用資機材購入費17,000</t>
    <rPh sb="0" eb="1">
      <t>コウ</t>
    </rPh>
    <rPh sb="1" eb="3">
      <t>キカク</t>
    </rPh>
    <rPh sb="3" eb="5">
      <t>キュウキュウ</t>
    </rPh>
    <rPh sb="5" eb="8">
      <t>ジドウシャ</t>
    </rPh>
    <rPh sb="8" eb="11">
      <t>コウニュウヒ</t>
    </rPh>
    <rPh sb="18" eb="20">
      <t>コウド</t>
    </rPh>
    <rPh sb="20" eb="22">
      <t>キュウメイ</t>
    </rPh>
    <rPh sb="22" eb="24">
      <t>ショチ</t>
    </rPh>
    <rPh sb="24" eb="25">
      <t>ヨウ</t>
    </rPh>
    <rPh sb="25" eb="28">
      <t>シキザイ</t>
    </rPh>
    <rPh sb="28" eb="30">
      <t>コウニュウ</t>
    </rPh>
    <rPh sb="30" eb="31">
      <t>ヒ</t>
    </rPh>
    <phoneticPr fontId="4"/>
  </si>
  <si>
    <t>救急自動車等整備事業</t>
    <rPh sb="0" eb="5">
      <t>キュウキュウジドウシャ</t>
    </rPh>
    <rPh sb="5" eb="6">
      <t>トウ</t>
    </rPh>
    <rPh sb="6" eb="8">
      <t>セイビ</t>
    </rPh>
    <rPh sb="8" eb="10">
      <t>ジギョウ</t>
    </rPh>
    <phoneticPr fontId="4"/>
  </si>
  <si>
    <r>
      <t xml:space="preserve">監理委託料7,400、共同消防指令センター建設工事費268,000、共同消防指令センター外構等整備工事費29,000
</t>
    </r>
    <r>
      <rPr>
        <b/>
        <sz val="9"/>
        <color theme="1"/>
        <rFont val="BIZ UDゴシック"/>
        <family val="3"/>
        <charset val="128"/>
      </rPr>
      <t>【今年度の取組】</t>
    </r>
    <r>
      <rPr>
        <sz val="9"/>
        <color theme="1"/>
        <rFont val="BIZ UDゴシック"/>
        <family val="3"/>
        <charset val="128"/>
      </rPr>
      <t xml:space="preserve">
令和8年度からの供用開始に向けて、共同消防指令センターの建設及び外構等整備工事を行う。</t>
    </r>
    <rPh sb="0" eb="2">
      <t>カンリ</t>
    </rPh>
    <rPh sb="2" eb="5">
      <t>イタクリョウ</t>
    </rPh>
    <rPh sb="34" eb="36">
      <t>キョウドウ</t>
    </rPh>
    <rPh sb="36" eb="38">
      <t>ショウボウ</t>
    </rPh>
    <rPh sb="38" eb="40">
      <t>シレイ</t>
    </rPh>
    <rPh sb="44" eb="46">
      <t>ガイコウ</t>
    </rPh>
    <rPh sb="46" eb="47">
      <t>トウ</t>
    </rPh>
    <rPh sb="47" eb="49">
      <t>セイビ</t>
    </rPh>
    <rPh sb="49" eb="52">
      <t>コウジヒ</t>
    </rPh>
    <rPh sb="68" eb="70">
      <t>レイワ</t>
    </rPh>
    <rPh sb="71" eb="73">
      <t>ネンド</t>
    </rPh>
    <rPh sb="76" eb="80">
      <t>キョウヨウカイシ</t>
    </rPh>
    <rPh sb="81" eb="82">
      <t>ム</t>
    </rPh>
    <rPh sb="98" eb="99">
      <t>オヨ</t>
    </rPh>
    <rPh sb="100" eb="102">
      <t>ガイコウ</t>
    </rPh>
    <rPh sb="102" eb="103">
      <t>トウ</t>
    </rPh>
    <rPh sb="103" eb="107">
      <t>セイビコウジ</t>
    </rPh>
    <rPh sb="108" eb="109">
      <t>オコナ</t>
    </rPh>
    <phoneticPr fontId="4"/>
  </si>
  <si>
    <t>防火水槽解体工事費17,600、耐震性貯水槽新設工事費81,000、消火栓撤去・移設工事費負担金40,000等</t>
    <rPh sb="16" eb="19">
      <t>タイシンセイ</t>
    </rPh>
    <rPh sb="19" eb="22">
      <t>チョスイソウ</t>
    </rPh>
    <rPh sb="22" eb="24">
      <t>シンセツ</t>
    </rPh>
    <rPh sb="24" eb="27">
      <t>コウジヒ</t>
    </rPh>
    <rPh sb="34" eb="36">
      <t>ショウカ</t>
    </rPh>
    <rPh sb="36" eb="37">
      <t>セン</t>
    </rPh>
    <rPh sb="37" eb="39">
      <t>テッキョ</t>
    </rPh>
    <rPh sb="40" eb="42">
      <t>イセツ</t>
    </rPh>
    <rPh sb="42" eb="44">
      <t>コウジ</t>
    </rPh>
    <rPh sb="44" eb="45">
      <t>ヒ</t>
    </rPh>
    <rPh sb="45" eb="48">
      <t>フタンキン</t>
    </rPh>
    <rPh sb="54" eb="55">
      <t>ナド</t>
    </rPh>
    <phoneticPr fontId="4"/>
  </si>
  <si>
    <t>消防水利整備事業</t>
    <rPh sb="0" eb="2">
      <t>ショウボウ</t>
    </rPh>
    <rPh sb="2" eb="4">
      <t>スイリ</t>
    </rPh>
    <rPh sb="4" eb="6">
      <t>セイビ</t>
    </rPh>
    <rPh sb="6" eb="8">
      <t>ジギョウ</t>
    </rPh>
    <phoneticPr fontId="4"/>
  </si>
  <si>
    <t>消防器具置場新設工事費44,000、消防器具置場解体工事費7,500等</t>
    <rPh sb="0" eb="2">
      <t>ショウボウ</t>
    </rPh>
    <rPh sb="2" eb="4">
      <t>キグ</t>
    </rPh>
    <rPh sb="4" eb="6">
      <t>オキバ</t>
    </rPh>
    <rPh sb="6" eb="8">
      <t>シンセツ</t>
    </rPh>
    <rPh sb="8" eb="10">
      <t>コウジ</t>
    </rPh>
    <rPh sb="10" eb="11">
      <t>ヒ</t>
    </rPh>
    <rPh sb="18" eb="20">
      <t>ショウボウ</t>
    </rPh>
    <rPh sb="20" eb="23">
      <t>キグオ</t>
    </rPh>
    <rPh sb="23" eb="24">
      <t>バ</t>
    </rPh>
    <rPh sb="24" eb="29">
      <t>カイタイコウジヒ</t>
    </rPh>
    <rPh sb="34" eb="35">
      <t>トウ</t>
    </rPh>
    <phoneticPr fontId="4"/>
  </si>
  <si>
    <t>消防団施設整備事業</t>
    <rPh sb="0" eb="3">
      <t>ショウボウダン</t>
    </rPh>
    <rPh sb="3" eb="5">
      <t>シセツ</t>
    </rPh>
    <rPh sb="5" eb="7">
      <t>セイビ</t>
    </rPh>
    <rPh sb="7" eb="9">
      <t>ジギョウ</t>
    </rPh>
    <phoneticPr fontId="4"/>
  </si>
  <si>
    <r>
      <t xml:space="preserve">草刈委託料710、地質調査委託料13,700、設計委託料46,000
</t>
    </r>
    <r>
      <rPr>
        <b/>
        <sz val="9"/>
        <color theme="1"/>
        <rFont val="BIZ UDゴシック"/>
        <family val="3"/>
        <charset val="128"/>
      </rPr>
      <t>【今年度の取組】</t>
    </r>
    <r>
      <rPr>
        <sz val="9"/>
        <color theme="1"/>
        <rFont val="BIZ UDゴシック"/>
        <family val="3"/>
        <charset val="128"/>
      </rPr>
      <t xml:space="preserve">
（仮称）桜井分署の建設に向けた実施設計を行う。</t>
    </r>
    <rPh sb="0" eb="2">
      <t>クサカ</t>
    </rPh>
    <rPh sb="2" eb="5">
      <t>イタクリョウ</t>
    </rPh>
    <rPh sb="9" eb="11">
      <t>チシツ</t>
    </rPh>
    <rPh sb="11" eb="13">
      <t>チョウサ</t>
    </rPh>
    <rPh sb="13" eb="16">
      <t>イタクリョウ</t>
    </rPh>
    <rPh sb="23" eb="28">
      <t>セッケイイタクリョウ</t>
    </rPh>
    <rPh sb="64" eb="65">
      <t>オコナ</t>
    </rPh>
    <phoneticPr fontId="4"/>
  </si>
  <si>
    <t>消防署所整備事業</t>
    <rPh sb="0" eb="3">
      <t>ショウボウショ</t>
    </rPh>
    <rPh sb="3" eb="4">
      <t>トコロ</t>
    </rPh>
    <rPh sb="4" eb="6">
      <t>セイビ</t>
    </rPh>
    <rPh sb="6" eb="8">
      <t>ジギョウ</t>
    </rPh>
    <phoneticPr fontId="4"/>
  </si>
  <si>
    <t>消耗品費4,200、修繕料2,200等</t>
    <rPh sb="0" eb="2">
      <t>ショウモウ</t>
    </rPh>
    <rPh sb="2" eb="3">
      <t>ヒン</t>
    </rPh>
    <rPh sb="3" eb="4">
      <t>ヒ</t>
    </rPh>
    <rPh sb="10" eb="12">
      <t>シュウゼン</t>
    </rPh>
    <rPh sb="12" eb="13">
      <t>リョウ</t>
    </rPh>
    <rPh sb="18" eb="19">
      <t>ナド</t>
    </rPh>
    <phoneticPr fontId="4"/>
  </si>
  <si>
    <t>消防団活動費</t>
    <rPh sb="0" eb="3">
      <t>ショウボウダン</t>
    </rPh>
    <rPh sb="3" eb="5">
      <t>カツドウ</t>
    </rPh>
    <rPh sb="5" eb="6">
      <t>ヒ</t>
    </rPh>
    <phoneticPr fontId="4"/>
  </si>
  <si>
    <r>
      <t xml:space="preserve">設計委託料15,000、消防指令システム整備工事費44,300等
</t>
    </r>
    <r>
      <rPr>
        <b/>
        <sz val="9"/>
        <color theme="1"/>
        <rFont val="BIZ UDゴシック"/>
        <family val="3"/>
        <charset val="128"/>
      </rPr>
      <t xml:space="preserve">【今年度の取組】
</t>
    </r>
    <r>
      <rPr>
        <sz val="9"/>
        <color theme="1"/>
        <rFont val="BIZ UDゴシック"/>
        <family val="3"/>
        <charset val="128"/>
      </rPr>
      <t>近隣市町による消防指令業務の共同運用に向けて、消防指令システムの整備を行う。</t>
    </r>
    <rPh sb="0" eb="5">
      <t>セッケイイタクリョウ</t>
    </rPh>
    <rPh sb="12" eb="16">
      <t>ショウボウシレイ</t>
    </rPh>
    <rPh sb="20" eb="22">
      <t>セイビ</t>
    </rPh>
    <rPh sb="22" eb="25">
      <t>コウジヒ</t>
    </rPh>
    <rPh sb="31" eb="32">
      <t>トウ</t>
    </rPh>
    <rPh sb="42" eb="44">
      <t>キンリン</t>
    </rPh>
    <rPh sb="44" eb="46">
      <t>シマチ</t>
    </rPh>
    <phoneticPr fontId="4"/>
  </si>
  <si>
    <t>消防指令業務共同運用事業</t>
    <rPh sb="0" eb="2">
      <t>ショウボウ</t>
    </rPh>
    <rPh sb="2" eb="4">
      <t>シレイ</t>
    </rPh>
    <rPh sb="4" eb="6">
      <t>ギョウム</t>
    </rPh>
    <rPh sb="6" eb="8">
      <t>キョウドウ</t>
    </rPh>
    <rPh sb="8" eb="10">
      <t>ウンヨウ</t>
    </rPh>
    <rPh sb="10" eb="12">
      <t>ジギョウ</t>
    </rPh>
    <phoneticPr fontId="4"/>
  </si>
  <si>
    <r>
      <t xml:space="preserve">消耗品費330、自動体外式除細動器借上料11,900等
</t>
    </r>
    <r>
      <rPr>
        <b/>
        <sz val="9"/>
        <color theme="1"/>
        <rFont val="BIZ UDゴシック"/>
        <family val="3"/>
        <charset val="128"/>
      </rPr>
      <t>【今年度の取組】</t>
    </r>
    <r>
      <rPr>
        <sz val="9"/>
        <color theme="1"/>
        <rFont val="BIZ UDゴシック"/>
        <family val="3"/>
        <charset val="128"/>
      </rPr>
      <t xml:space="preserve">
市立小中学校に2台目のAED（自動体外式除細動器）を設置する。</t>
    </r>
    <rPh sb="0" eb="4">
      <t>ショウモウヒンヒ</t>
    </rPh>
    <rPh sb="8" eb="10">
      <t>ジドウ</t>
    </rPh>
    <rPh sb="10" eb="12">
      <t>タイガイ</t>
    </rPh>
    <rPh sb="12" eb="13">
      <t>シキ</t>
    </rPh>
    <rPh sb="13" eb="16">
      <t>ジョサイドウ</t>
    </rPh>
    <rPh sb="16" eb="17">
      <t>キ</t>
    </rPh>
    <rPh sb="17" eb="18">
      <t>シャク</t>
    </rPh>
    <rPh sb="18" eb="19">
      <t>ジョウ</t>
    </rPh>
    <rPh sb="19" eb="20">
      <t>リョウ</t>
    </rPh>
    <rPh sb="26" eb="27">
      <t>ナド</t>
    </rPh>
    <rPh sb="37" eb="39">
      <t>シリツ</t>
    </rPh>
    <rPh sb="39" eb="43">
      <t>ショウチュウガッコウ</t>
    </rPh>
    <rPh sb="45" eb="47">
      <t>ダイメ</t>
    </rPh>
    <rPh sb="63" eb="65">
      <t>セッチ</t>
    </rPh>
    <phoneticPr fontId="4"/>
  </si>
  <si>
    <t>応急手当普及啓発事業</t>
    <rPh sb="0" eb="2">
      <t>オウキュウ</t>
    </rPh>
    <rPh sb="2" eb="4">
      <t>テアテ</t>
    </rPh>
    <rPh sb="4" eb="6">
      <t>フキュウ</t>
    </rPh>
    <rPh sb="6" eb="8">
      <t>ケイハツ</t>
    </rPh>
    <rPh sb="8" eb="10">
      <t>ジギョウ</t>
    </rPh>
    <phoneticPr fontId="4"/>
  </si>
  <si>
    <t>救急救命士病院実習委託料2,260、救急医学等講習会負担金4,070等</t>
    <rPh sb="0" eb="5">
      <t>キュウキュウキュウメイシ</t>
    </rPh>
    <rPh sb="5" eb="9">
      <t>ビョウインジッシュウ</t>
    </rPh>
    <rPh sb="9" eb="12">
      <t>イタクリョウ</t>
    </rPh>
    <rPh sb="18" eb="23">
      <t>キュウキュウイガクトウ</t>
    </rPh>
    <rPh sb="23" eb="26">
      <t>コウシュウカイ</t>
    </rPh>
    <rPh sb="26" eb="29">
      <t>フタンキン</t>
    </rPh>
    <rPh sb="34" eb="35">
      <t>トウ</t>
    </rPh>
    <phoneticPr fontId="4"/>
  </si>
  <si>
    <t>救急高度化推進事業</t>
    <rPh sb="0" eb="5">
      <t>キュウキュウコウドカ</t>
    </rPh>
    <rPh sb="5" eb="9">
      <t>スイシンジギョウ</t>
    </rPh>
    <phoneticPr fontId="4"/>
  </si>
  <si>
    <t>燃料費18,000、医薬材料費6,900等</t>
    <rPh sb="0" eb="3">
      <t>ネンリョウヒ</t>
    </rPh>
    <rPh sb="10" eb="12">
      <t>イヤク</t>
    </rPh>
    <rPh sb="12" eb="15">
      <t>ザイリョウヒ</t>
    </rPh>
    <rPh sb="20" eb="21">
      <t>トウ</t>
    </rPh>
    <phoneticPr fontId="4"/>
  </si>
  <si>
    <t>救急活動事業</t>
    <rPh sb="0" eb="2">
      <t>キュウキュウ</t>
    </rPh>
    <rPh sb="2" eb="4">
      <t>カツドウ</t>
    </rPh>
    <rPh sb="4" eb="6">
      <t>ジギョウ</t>
    </rPh>
    <phoneticPr fontId="4"/>
  </si>
  <si>
    <t>消耗品8,000、修繕料10,000、消防用器具購入費5,800等</t>
    <rPh sb="0" eb="3">
      <t>ショウモウヒン</t>
    </rPh>
    <rPh sb="19" eb="21">
      <t>ショウボウ</t>
    </rPh>
    <rPh sb="21" eb="22">
      <t>ヨウ</t>
    </rPh>
    <rPh sb="22" eb="24">
      <t>キグ</t>
    </rPh>
    <rPh sb="24" eb="27">
      <t>コウニュウヒ</t>
    </rPh>
    <rPh sb="32" eb="33">
      <t>ナド</t>
    </rPh>
    <phoneticPr fontId="4"/>
  </si>
  <si>
    <t>火災・救助活動事業</t>
    <rPh sb="0" eb="2">
      <t>カサイ</t>
    </rPh>
    <rPh sb="3" eb="5">
      <t>キュウジョ</t>
    </rPh>
    <rPh sb="5" eb="7">
      <t>カツドウ</t>
    </rPh>
    <rPh sb="7" eb="9">
      <t>ジギョウ</t>
    </rPh>
    <phoneticPr fontId="4"/>
  </si>
  <si>
    <t>通信運搬費7,500、無線機保守管理委託料8,700、消防緊急情報システム機器保守管理委託料50,400等</t>
    <rPh sb="0" eb="5">
      <t>ツウシンウンパンヒ</t>
    </rPh>
    <rPh sb="11" eb="14">
      <t>ムセンキ</t>
    </rPh>
    <rPh sb="14" eb="16">
      <t>ホシュ</t>
    </rPh>
    <rPh sb="16" eb="18">
      <t>カンリ</t>
    </rPh>
    <rPh sb="18" eb="21">
      <t>イタクリョウ</t>
    </rPh>
    <rPh sb="27" eb="29">
      <t>ショウボウ</t>
    </rPh>
    <rPh sb="29" eb="31">
      <t>キンキュウ</t>
    </rPh>
    <rPh sb="31" eb="33">
      <t>ジョウホウ</t>
    </rPh>
    <rPh sb="37" eb="39">
      <t>キキ</t>
    </rPh>
    <rPh sb="39" eb="41">
      <t>ホシュ</t>
    </rPh>
    <rPh sb="41" eb="43">
      <t>カンリ</t>
    </rPh>
    <rPh sb="43" eb="45">
      <t>イタク</t>
    </rPh>
    <rPh sb="45" eb="46">
      <t>リョウ</t>
    </rPh>
    <rPh sb="52" eb="53">
      <t>トウ</t>
    </rPh>
    <phoneticPr fontId="4"/>
  </si>
  <si>
    <t>通信指令事業</t>
    <rPh sb="0" eb="2">
      <t>ツウシン</t>
    </rPh>
    <rPh sb="2" eb="4">
      <t>シレイ</t>
    </rPh>
    <rPh sb="4" eb="6">
      <t>ジギョウ</t>
    </rPh>
    <phoneticPr fontId="4"/>
  </si>
  <si>
    <t>地震体験車保守管理委託料1,750、防火対象物等検索システム機器等保守管理委託料3,270等</t>
    <rPh sb="0" eb="5">
      <t>ジシンタイケンシャ</t>
    </rPh>
    <rPh sb="5" eb="9">
      <t>ホシュカンリ</t>
    </rPh>
    <rPh sb="9" eb="12">
      <t>イタクリョウ</t>
    </rPh>
    <rPh sb="18" eb="20">
      <t>ボウカ</t>
    </rPh>
    <rPh sb="20" eb="23">
      <t>タイショウブツ</t>
    </rPh>
    <rPh sb="23" eb="24">
      <t>ナド</t>
    </rPh>
    <rPh sb="24" eb="26">
      <t>ケンサク</t>
    </rPh>
    <rPh sb="30" eb="32">
      <t>キキ</t>
    </rPh>
    <rPh sb="32" eb="33">
      <t>トウ</t>
    </rPh>
    <rPh sb="33" eb="35">
      <t>ホシュ</t>
    </rPh>
    <rPh sb="35" eb="37">
      <t>カンリ</t>
    </rPh>
    <rPh sb="37" eb="40">
      <t>イタクリョウ</t>
    </rPh>
    <rPh sb="45" eb="46">
      <t>ナド</t>
    </rPh>
    <phoneticPr fontId="4"/>
  </si>
  <si>
    <t>火災予防事業</t>
    <rPh sb="0" eb="2">
      <t>カサイ</t>
    </rPh>
    <rPh sb="2" eb="4">
      <t>ヨボウ</t>
    </rPh>
    <rPh sb="4" eb="6">
      <t>ジギョウ</t>
    </rPh>
    <phoneticPr fontId="4"/>
  </si>
  <si>
    <t>消防費</t>
    <rPh sb="0" eb="2">
      <t>ショウボウ</t>
    </rPh>
    <rPh sb="2" eb="3">
      <t>ヒ</t>
    </rPh>
    <phoneticPr fontId="4"/>
  </si>
  <si>
    <r>
      <t xml:space="preserve">測量委託料6,000、公営住宅管理代行委託料33,500等
</t>
    </r>
    <r>
      <rPr>
        <b/>
        <sz val="9"/>
        <rFont val="BIZ UDゴシック"/>
        <family val="3"/>
        <charset val="128"/>
      </rPr>
      <t>【今年度の取組】</t>
    </r>
    <r>
      <rPr>
        <sz val="9"/>
        <rFont val="BIZ UDゴシック"/>
        <family val="3"/>
        <charset val="128"/>
      </rPr>
      <t xml:space="preserve">
集約建替え等に向けた測量を行う。</t>
    </r>
    <rPh sb="0" eb="2">
      <t>ソクリョウ</t>
    </rPh>
    <rPh sb="2" eb="5">
      <t>イタクリョウ</t>
    </rPh>
    <rPh sb="11" eb="13">
      <t>コウエイ</t>
    </rPh>
    <rPh sb="13" eb="15">
      <t>ジュウタク</t>
    </rPh>
    <rPh sb="15" eb="17">
      <t>カンリ</t>
    </rPh>
    <rPh sb="17" eb="19">
      <t>ダイコウ</t>
    </rPh>
    <rPh sb="19" eb="21">
      <t>イタク</t>
    </rPh>
    <rPh sb="21" eb="22">
      <t>リョウ</t>
    </rPh>
    <rPh sb="28" eb="29">
      <t>トウ</t>
    </rPh>
    <rPh sb="31" eb="34">
      <t>コンネンド</t>
    </rPh>
    <rPh sb="35" eb="37">
      <t>トリク</t>
    </rPh>
    <rPh sb="39" eb="41">
      <t>シュウヤク</t>
    </rPh>
    <rPh sb="41" eb="43">
      <t>タテカ</t>
    </rPh>
    <rPh sb="44" eb="45">
      <t>トウ</t>
    </rPh>
    <rPh sb="46" eb="47">
      <t>ム</t>
    </rPh>
    <rPh sb="49" eb="51">
      <t>ソクリョウ</t>
    </rPh>
    <rPh sb="52" eb="53">
      <t>オコナ</t>
    </rPh>
    <phoneticPr fontId="4"/>
  </si>
  <si>
    <t>市営住宅施設管理費</t>
    <rPh sb="0" eb="2">
      <t>シエイ</t>
    </rPh>
    <rPh sb="2" eb="4">
      <t>ジュウタク</t>
    </rPh>
    <rPh sb="4" eb="6">
      <t>シセツ</t>
    </rPh>
    <rPh sb="6" eb="9">
      <t>カンリヒ</t>
    </rPh>
    <phoneticPr fontId="4"/>
  </si>
  <si>
    <t>マンション管理士派遣報償金</t>
    <rPh sb="5" eb="8">
      <t>カンリシ</t>
    </rPh>
    <rPh sb="8" eb="10">
      <t>ハケン</t>
    </rPh>
    <rPh sb="10" eb="13">
      <t>ホウショウキン</t>
    </rPh>
    <phoneticPr fontId="4"/>
  </si>
  <si>
    <t>マンション管理適正化推進事業</t>
    <rPh sb="5" eb="7">
      <t>カンリ</t>
    </rPh>
    <rPh sb="7" eb="10">
      <t>テキセイカ</t>
    </rPh>
    <rPh sb="10" eb="14">
      <t>スイシンジギョウ</t>
    </rPh>
    <phoneticPr fontId="4"/>
  </si>
  <si>
    <t>公共下水道事業会計負担金1,755,000、公共下水道事業会計補助金14,000</t>
    <rPh sb="5" eb="7">
      <t>ジギョウ</t>
    </rPh>
    <rPh sb="9" eb="12">
      <t>フタンキン</t>
    </rPh>
    <rPh sb="31" eb="34">
      <t>ホジョキン</t>
    </rPh>
    <phoneticPr fontId="4"/>
  </si>
  <si>
    <t>物件等調査委託料6,700、排水路整備工事費150,000</t>
    <rPh sb="0" eb="3">
      <t>ブッケントウ</t>
    </rPh>
    <rPh sb="3" eb="8">
      <t>チョウサイタクリョウ</t>
    </rPh>
    <rPh sb="14" eb="17">
      <t>ハイスイロ</t>
    </rPh>
    <rPh sb="17" eb="19">
      <t>セイビ</t>
    </rPh>
    <rPh sb="19" eb="21">
      <t>コウジ</t>
    </rPh>
    <rPh sb="21" eb="22">
      <t>ヒ</t>
    </rPh>
    <phoneticPr fontId="4"/>
  </si>
  <si>
    <t>千疋幹線排水路整備事業</t>
    <rPh sb="0" eb="2">
      <t>センビキ</t>
    </rPh>
    <rPh sb="2" eb="4">
      <t>カンセン</t>
    </rPh>
    <rPh sb="4" eb="7">
      <t>ハイスイロ</t>
    </rPh>
    <rPh sb="7" eb="9">
      <t>セイビ</t>
    </rPh>
    <rPh sb="9" eb="11">
      <t>ジギョウ</t>
    </rPh>
    <phoneticPr fontId="4"/>
  </si>
  <si>
    <t>手数料2,100、管理不全状態空家等撤去等委託料1,500、空家等実態調査委託料11,000、空家等対策推進事業費補助金2,000等</t>
    <rPh sb="0" eb="3">
      <t>テスウリョウ</t>
    </rPh>
    <rPh sb="13" eb="15">
      <t>ジョウタイ</t>
    </rPh>
    <rPh sb="15" eb="17">
      <t>アキヤ</t>
    </rPh>
    <rPh sb="17" eb="18">
      <t>トウ</t>
    </rPh>
    <rPh sb="20" eb="21">
      <t>トウ</t>
    </rPh>
    <rPh sb="30" eb="33">
      <t>アキヤトウ</t>
    </rPh>
    <rPh sb="33" eb="37">
      <t>ジッタイチョウサ</t>
    </rPh>
    <rPh sb="37" eb="40">
      <t>イタクリョウ</t>
    </rPh>
    <rPh sb="47" eb="48">
      <t>ア</t>
    </rPh>
    <rPh sb="48" eb="49">
      <t>ヤ</t>
    </rPh>
    <rPh sb="49" eb="50">
      <t>トウ</t>
    </rPh>
    <rPh sb="50" eb="52">
      <t>タイサク</t>
    </rPh>
    <rPh sb="52" eb="54">
      <t>スイシン</t>
    </rPh>
    <rPh sb="54" eb="57">
      <t>ジギョウヒ</t>
    </rPh>
    <rPh sb="57" eb="60">
      <t>ホジョキン</t>
    </rPh>
    <rPh sb="65" eb="66">
      <t>トウ</t>
    </rPh>
    <phoneticPr fontId="4"/>
  </si>
  <si>
    <t>空家等適正管理事業</t>
    <rPh sb="0" eb="1">
      <t>ア</t>
    </rPh>
    <rPh sb="1" eb="2">
      <t>ヤ</t>
    </rPh>
    <rPh sb="2" eb="3">
      <t>トウ</t>
    </rPh>
    <rPh sb="3" eb="5">
      <t>テキセイ</t>
    </rPh>
    <rPh sb="5" eb="7">
      <t>カンリ</t>
    </rPh>
    <rPh sb="7" eb="9">
      <t>ジギョウ</t>
    </rPh>
    <phoneticPr fontId="4"/>
  </si>
  <si>
    <t>住宅耐震改修等補助金</t>
    <rPh sb="0" eb="4">
      <t>ジュウタクタイシン</t>
    </rPh>
    <rPh sb="4" eb="6">
      <t>カイシュウ</t>
    </rPh>
    <rPh sb="6" eb="7">
      <t>トウ</t>
    </rPh>
    <rPh sb="7" eb="10">
      <t>ホジョキン</t>
    </rPh>
    <phoneticPr fontId="4"/>
  </si>
  <si>
    <t>既存建築物改修促進事業</t>
    <rPh sb="0" eb="2">
      <t>キゾン</t>
    </rPh>
    <rPh sb="2" eb="5">
      <t>ケンチクブツ</t>
    </rPh>
    <rPh sb="5" eb="7">
      <t>カイシュウ</t>
    </rPh>
    <rPh sb="7" eb="9">
      <t>ソクシン</t>
    </rPh>
    <rPh sb="9" eb="11">
      <t>ジギョウ</t>
    </rPh>
    <phoneticPr fontId="4"/>
  </si>
  <si>
    <t>新方川緑道整備工事費</t>
    <rPh sb="5" eb="7">
      <t>セイビ</t>
    </rPh>
    <rPh sb="7" eb="9">
      <t>コウジ</t>
    </rPh>
    <phoneticPr fontId="4"/>
  </si>
  <si>
    <t>新方川緑道整備事業</t>
    <rPh sb="0" eb="1">
      <t>シン</t>
    </rPh>
    <rPh sb="1" eb="2">
      <t>カタ</t>
    </rPh>
    <rPh sb="2" eb="3">
      <t>ガワ</t>
    </rPh>
    <rPh sb="3" eb="4">
      <t>ミドリ</t>
    </rPh>
    <rPh sb="4" eb="5">
      <t>ミチ</t>
    </rPh>
    <rPh sb="5" eb="7">
      <t>セイビ</t>
    </rPh>
    <rPh sb="7" eb="9">
      <t>ジギョウ</t>
    </rPh>
    <phoneticPr fontId="4"/>
  </si>
  <si>
    <t>綾瀬川緑道整備工事費</t>
    <rPh sb="0" eb="2">
      <t>アヤセ</t>
    </rPh>
    <rPh sb="5" eb="7">
      <t>セイビ</t>
    </rPh>
    <rPh sb="7" eb="9">
      <t>コウジ</t>
    </rPh>
    <phoneticPr fontId="4"/>
  </si>
  <si>
    <t>綾瀬川緑道整備事業</t>
    <rPh sb="0" eb="2">
      <t>アヤセ</t>
    </rPh>
    <rPh sb="2" eb="3">
      <t>ガワ</t>
    </rPh>
    <rPh sb="3" eb="4">
      <t>ミドリ</t>
    </rPh>
    <rPh sb="4" eb="5">
      <t>ミチ</t>
    </rPh>
    <rPh sb="5" eb="7">
      <t>セイビ</t>
    </rPh>
    <rPh sb="7" eb="9">
      <t>ジギョウ</t>
    </rPh>
    <phoneticPr fontId="4"/>
  </si>
  <si>
    <r>
      <t xml:space="preserve">測量委託料8,000、公園整備工事費200,000等
</t>
    </r>
    <r>
      <rPr>
        <b/>
        <sz val="9"/>
        <rFont val="BIZ UDゴシック"/>
        <family val="3"/>
        <charset val="128"/>
      </rPr>
      <t>【今年度の取組】</t>
    </r>
    <r>
      <rPr>
        <sz val="9"/>
        <rFont val="BIZ UDゴシック"/>
        <family val="3"/>
        <charset val="128"/>
      </rPr>
      <t xml:space="preserve">
令和7年度からの（仮称）西大袋第1号公園の供用開始に向けた整備等を行う。</t>
    </r>
    <rPh sb="0" eb="5">
      <t>ソクリョウイタクリョウ</t>
    </rPh>
    <rPh sb="11" eb="13">
      <t>コウエン</t>
    </rPh>
    <rPh sb="13" eb="15">
      <t>セイビ</t>
    </rPh>
    <rPh sb="15" eb="17">
      <t>コウジ</t>
    </rPh>
    <rPh sb="17" eb="18">
      <t>ヒ</t>
    </rPh>
    <rPh sb="25" eb="26">
      <t>トウ</t>
    </rPh>
    <rPh sb="36" eb="38">
      <t>レイワ</t>
    </rPh>
    <rPh sb="39" eb="41">
      <t>ネンド</t>
    </rPh>
    <rPh sb="45" eb="47">
      <t>カショウ</t>
    </rPh>
    <rPh sb="48" eb="51">
      <t>ニシオオブクロ</t>
    </rPh>
    <rPh sb="51" eb="52">
      <t>ダイ</t>
    </rPh>
    <rPh sb="53" eb="54">
      <t>ゴウ</t>
    </rPh>
    <rPh sb="54" eb="56">
      <t>コウエン</t>
    </rPh>
    <rPh sb="57" eb="59">
      <t>キョウヨウ</t>
    </rPh>
    <rPh sb="59" eb="61">
      <t>カイシ</t>
    </rPh>
    <rPh sb="62" eb="63">
      <t>ム</t>
    </rPh>
    <rPh sb="65" eb="67">
      <t>セイビ</t>
    </rPh>
    <rPh sb="67" eb="68">
      <t>トウ</t>
    </rPh>
    <rPh sb="69" eb="70">
      <t>オコナ</t>
    </rPh>
    <phoneticPr fontId="4"/>
  </si>
  <si>
    <t>住区基幹公園等整備事業</t>
    <rPh sb="0" eb="1">
      <t>ジュウ</t>
    </rPh>
    <rPh sb="1" eb="2">
      <t>ク</t>
    </rPh>
    <rPh sb="2" eb="4">
      <t>キカン</t>
    </rPh>
    <rPh sb="4" eb="6">
      <t>コウエン</t>
    </rPh>
    <rPh sb="6" eb="7">
      <t>トウ</t>
    </rPh>
    <rPh sb="7" eb="9">
      <t>セイビ</t>
    </rPh>
    <rPh sb="9" eb="11">
      <t>ジギョウ</t>
    </rPh>
    <phoneticPr fontId="4"/>
  </si>
  <si>
    <t>公園整備工事費</t>
    <rPh sb="0" eb="7">
      <t>コウエンセイビコウジヒ</t>
    </rPh>
    <phoneticPr fontId="4"/>
  </si>
  <si>
    <t>しらこばと運動公園整備事業</t>
    <rPh sb="5" eb="7">
      <t>ウンドウ</t>
    </rPh>
    <rPh sb="7" eb="9">
      <t>コウエン</t>
    </rPh>
    <rPh sb="9" eb="13">
      <t>セイビジギョウ</t>
    </rPh>
    <phoneticPr fontId="4"/>
  </si>
  <si>
    <t>公園整備工事費8,000、公園用地購入費307,700等</t>
    <rPh sb="0" eb="2">
      <t>コウエン</t>
    </rPh>
    <rPh sb="2" eb="4">
      <t>セイビ</t>
    </rPh>
    <rPh sb="4" eb="7">
      <t>コウジヒ</t>
    </rPh>
    <rPh sb="13" eb="15">
      <t>コウエン</t>
    </rPh>
    <rPh sb="15" eb="17">
      <t>ヨウチ</t>
    </rPh>
    <rPh sb="17" eb="19">
      <t>コウニュウ</t>
    </rPh>
    <rPh sb="27" eb="28">
      <t>トウ</t>
    </rPh>
    <phoneticPr fontId="4"/>
  </si>
  <si>
    <t>公園施設改修工事費44,000等</t>
    <rPh sb="0" eb="2">
      <t>コウエン</t>
    </rPh>
    <rPh sb="2" eb="4">
      <t>シセツ</t>
    </rPh>
    <rPh sb="4" eb="6">
      <t>カイシュウ</t>
    </rPh>
    <rPh sb="6" eb="8">
      <t>コウジ</t>
    </rPh>
    <rPh sb="8" eb="9">
      <t>ヒ</t>
    </rPh>
    <rPh sb="15" eb="16">
      <t>トウ</t>
    </rPh>
    <phoneticPr fontId="4"/>
  </si>
  <si>
    <t>公園施設改修費</t>
    <rPh sb="0" eb="2">
      <t>コウエン</t>
    </rPh>
    <rPh sb="2" eb="4">
      <t>シセツ</t>
    </rPh>
    <rPh sb="4" eb="6">
      <t>カイシュウ</t>
    </rPh>
    <rPh sb="6" eb="7">
      <t>ヒ</t>
    </rPh>
    <phoneticPr fontId="4"/>
  </si>
  <si>
    <t>光熱水費82,000、修繕料20,000、公園等管理委託料380,000、公園施設補修工事費25,000等</t>
    <rPh sb="0" eb="2">
      <t>コウネツ</t>
    </rPh>
    <rPh sb="2" eb="3">
      <t>スイ</t>
    </rPh>
    <rPh sb="3" eb="4">
      <t>ヒ</t>
    </rPh>
    <rPh sb="11" eb="13">
      <t>シュウゼン</t>
    </rPh>
    <rPh sb="13" eb="14">
      <t>リョウ</t>
    </rPh>
    <rPh sb="21" eb="24">
      <t>コウエントウ</t>
    </rPh>
    <rPh sb="24" eb="26">
      <t>カンリ</t>
    </rPh>
    <rPh sb="26" eb="28">
      <t>イタク</t>
    </rPh>
    <rPh sb="28" eb="29">
      <t>リョウ</t>
    </rPh>
    <rPh sb="52" eb="53">
      <t>トウ</t>
    </rPh>
    <phoneticPr fontId="4"/>
  </si>
  <si>
    <t>公園施設維持管理費</t>
    <rPh sb="0" eb="2">
      <t>コウエン</t>
    </rPh>
    <rPh sb="2" eb="4">
      <t>シセツ</t>
    </rPh>
    <rPh sb="4" eb="6">
      <t>イジ</t>
    </rPh>
    <rPh sb="6" eb="9">
      <t>カンリヒ</t>
    </rPh>
    <phoneticPr fontId="4"/>
  </si>
  <si>
    <t>街路用地購入費37,400、物件等補償料114,000等</t>
    <rPh sb="0" eb="2">
      <t>ガイロ</t>
    </rPh>
    <rPh sb="2" eb="7">
      <t>ヨウチコウニュウヒ</t>
    </rPh>
    <rPh sb="14" eb="17">
      <t>ブッケントウ</t>
    </rPh>
    <rPh sb="17" eb="20">
      <t>ホショウリョウ</t>
    </rPh>
    <rPh sb="27" eb="28">
      <t>トウ</t>
    </rPh>
    <phoneticPr fontId="4"/>
  </si>
  <si>
    <t>健康福祉村大袋線整備事業</t>
    <rPh sb="0" eb="2">
      <t>ケンコウ</t>
    </rPh>
    <rPh sb="2" eb="4">
      <t>フクシ</t>
    </rPh>
    <rPh sb="4" eb="5">
      <t>ムラ</t>
    </rPh>
    <rPh sb="5" eb="7">
      <t>オオブクロ</t>
    </rPh>
    <rPh sb="7" eb="8">
      <t>セン</t>
    </rPh>
    <rPh sb="8" eb="10">
      <t>セイビ</t>
    </rPh>
    <rPh sb="10" eb="12">
      <t>ジギョウ</t>
    </rPh>
    <phoneticPr fontId="4"/>
  </si>
  <si>
    <t>街路用地購入費100、物件等補償料1,000等</t>
    <rPh sb="0" eb="2">
      <t>ガイロ</t>
    </rPh>
    <rPh sb="2" eb="4">
      <t>ヨウチ</t>
    </rPh>
    <rPh sb="4" eb="6">
      <t>コウニュウ</t>
    </rPh>
    <rPh sb="6" eb="7">
      <t>ヒ</t>
    </rPh>
    <rPh sb="11" eb="13">
      <t>ブッケン</t>
    </rPh>
    <rPh sb="13" eb="14">
      <t>トウ</t>
    </rPh>
    <rPh sb="14" eb="16">
      <t>ホショウ</t>
    </rPh>
    <rPh sb="16" eb="17">
      <t>リョウ</t>
    </rPh>
    <rPh sb="22" eb="23">
      <t>トウ</t>
    </rPh>
    <phoneticPr fontId="4"/>
  </si>
  <si>
    <t>川柳大成町線整備事業</t>
    <rPh sb="0" eb="1">
      <t>カワ</t>
    </rPh>
    <rPh sb="1" eb="2">
      <t>ヤナギ</t>
    </rPh>
    <rPh sb="2" eb="4">
      <t>タイセイ</t>
    </rPh>
    <rPh sb="4" eb="5">
      <t>チョウ</t>
    </rPh>
    <rPh sb="5" eb="6">
      <t>セン</t>
    </rPh>
    <rPh sb="6" eb="8">
      <t>セイビ</t>
    </rPh>
    <rPh sb="8" eb="10">
      <t>ジギョウ</t>
    </rPh>
    <phoneticPr fontId="4"/>
  </si>
  <si>
    <t>街路築造工事費230,000、越谷吉川線整備事業費負担金2,500等</t>
    <rPh sb="0" eb="4">
      <t>ガイロチクゾウ</t>
    </rPh>
    <rPh sb="4" eb="7">
      <t>コウジヒ</t>
    </rPh>
    <rPh sb="15" eb="20">
      <t>コシガヤヨシカワセン</t>
    </rPh>
    <rPh sb="20" eb="25">
      <t>セイビジギョウヒ</t>
    </rPh>
    <rPh sb="25" eb="28">
      <t>フタンキン</t>
    </rPh>
    <rPh sb="33" eb="34">
      <t>トウ</t>
    </rPh>
    <phoneticPr fontId="4"/>
  </si>
  <si>
    <t>越谷吉川線整備事業</t>
    <rPh sb="0" eb="2">
      <t>コシガヤ</t>
    </rPh>
    <rPh sb="2" eb="4">
      <t>ヨシカワ</t>
    </rPh>
    <rPh sb="4" eb="5">
      <t>セン</t>
    </rPh>
    <rPh sb="5" eb="7">
      <t>セイビ</t>
    </rPh>
    <rPh sb="7" eb="9">
      <t>ジギョウ</t>
    </rPh>
    <phoneticPr fontId="4"/>
  </si>
  <si>
    <t>土地区画整理会計
（東越谷16,000・西大袋710,000）</t>
    <rPh sb="10" eb="13">
      <t>ヒガシコシガヤ</t>
    </rPh>
    <rPh sb="20" eb="21">
      <t>ニシ</t>
    </rPh>
    <rPh sb="21" eb="23">
      <t>オオブクロ</t>
    </rPh>
    <phoneticPr fontId="4"/>
  </si>
  <si>
    <r>
      <t xml:space="preserve">大袋駅東口周辺地区まちづくり基礎調査等業務委託料4,200、西大袋地区拠点施設用地購入費350,000等
</t>
    </r>
    <r>
      <rPr>
        <b/>
        <sz val="9"/>
        <rFont val="BIZ UDゴシック"/>
        <family val="3"/>
        <charset val="128"/>
      </rPr>
      <t>【今年度の取組】</t>
    </r>
    <r>
      <rPr>
        <sz val="9"/>
        <rFont val="BIZ UDゴシック"/>
        <family val="3"/>
        <charset val="128"/>
      </rPr>
      <t xml:space="preserve">
大袋駅東口周辺地区まちづくり構想の実現に向け、現況の基礎調査、アンケート調査、意見交換等を実施する。</t>
    </r>
    <rPh sb="30" eb="33">
      <t>ニシオオブクロ</t>
    </rPh>
    <rPh sb="33" eb="35">
      <t>チク</t>
    </rPh>
    <rPh sb="35" eb="37">
      <t>キョテン</t>
    </rPh>
    <rPh sb="37" eb="39">
      <t>シセツ</t>
    </rPh>
    <rPh sb="39" eb="44">
      <t>ヨウチコウニュウヒ</t>
    </rPh>
    <rPh sb="51" eb="52">
      <t>トウ</t>
    </rPh>
    <rPh sb="54" eb="57">
      <t>コンネンド</t>
    </rPh>
    <rPh sb="58" eb="60">
      <t>トリク</t>
    </rPh>
    <rPh sb="76" eb="78">
      <t>コウソウ</t>
    </rPh>
    <rPh sb="79" eb="81">
      <t>ジツゲン</t>
    </rPh>
    <rPh sb="82" eb="83">
      <t>ム</t>
    </rPh>
    <rPh sb="105" eb="106">
      <t>トウ</t>
    </rPh>
    <rPh sb="107" eb="109">
      <t>ジッシ</t>
    </rPh>
    <phoneticPr fontId="4"/>
  </si>
  <si>
    <t>まちづくり推進事業</t>
    <rPh sb="5" eb="9">
      <t>スイシンジギョウ</t>
    </rPh>
    <phoneticPr fontId="4"/>
  </si>
  <si>
    <t>産業系土地利用推進事業支援業務委託料</t>
    <rPh sb="0" eb="2">
      <t>サンギョウ</t>
    </rPh>
    <rPh sb="2" eb="3">
      <t>ケイ</t>
    </rPh>
    <rPh sb="3" eb="5">
      <t>トチ</t>
    </rPh>
    <rPh sb="5" eb="7">
      <t>リヨウ</t>
    </rPh>
    <rPh sb="7" eb="9">
      <t>スイシン</t>
    </rPh>
    <rPh sb="9" eb="11">
      <t>ジギョウ</t>
    </rPh>
    <rPh sb="11" eb="13">
      <t>シエン</t>
    </rPh>
    <rPh sb="13" eb="15">
      <t>ギョウム</t>
    </rPh>
    <rPh sb="15" eb="17">
      <t>イタク</t>
    </rPh>
    <rPh sb="17" eb="18">
      <t>リョウ</t>
    </rPh>
    <phoneticPr fontId="4"/>
  </si>
  <si>
    <t>流通・工業系土地利用事業</t>
    <rPh sb="0" eb="2">
      <t>リュウツウ</t>
    </rPh>
    <rPh sb="3" eb="5">
      <t>コウギョウ</t>
    </rPh>
    <rPh sb="5" eb="6">
      <t>ケイ</t>
    </rPh>
    <rPh sb="6" eb="8">
      <t>トチ</t>
    </rPh>
    <rPh sb="8" eb="10">
      <t>リヨウ</t>
    </rPh>
    <rPh sb="10" eb="12">
      <t>ジギョウ</t>
    </rPh>
    <phoneticPr fontId="4"/>
  </si>
  <si>
    <r>
      <t>鉄道駅バリアフリー化設備整備事業補助金12,200等</t>
    </r>
    <r>
      <rPr>
        <b/>
        <sz val="9"/>
        <rFont val="BIZ UDゴシック"/>
        <family val="3"/>
        <charset val="128"/>
      </rPr>
      <t/>
    </r>
    <rPh sb="0" eb="2">
      <t>テツドウ</t>
    </rPh>
    <rPh sb="2" eb="3">
      <t>エキ</t>
    </rPh>
    <rPh sb="9" eb="10">
      <t>カ</t>
    </rPh>
    <rPh sb="10" eb="12">
      <t>セツビ</t>
    </rPh>
    <rPh sb="12" eb="14">
      <t>セイビ</t>
    </rPh>
    <rPh sb="14" eb="16">
      <t>ジギョウ</t>
    </rPh>
    <rPh sb="16" eb="19">
      <t>ホジョキン</t>
    </rPh>
    <rPh sb="25" eb="26">
      <t>トウ</t>
    </rPh>
    <phoneticPr fontId="4"/>
  </si>
  <si>
    <t>公共交通事業</t>
    <rPh sb="0" eb="2">
      <t>コウキョウ</t>
    </rPh>
    <rPh sb="2" eb="4">
      <t>コウツウ</t>
    </rPh>
    <rPh sb="4" eb="6">
      <t>ジギョウ</t>
    </rPh>
    <phoneticPr fontId="4"/>
  </si>
  <si>
    <r>
      <t xml:space="preserve">洪水ハザード標識設置委託料
</t>
    </r>
    <r>
      <rPr>
        <b/>
        <sz val="9"/>
        <rFont val="BIZ UDゴシック"/>
        <family val="3"/>
        <charset val="128"/>
      </rPr>
      <t>【今年度の取組】</t>
    </r>
    <r>
      <rPr>
        <sz val="9"/>
        <rFont val="BIZ UDゴシック"/>
        <family val="3"/>
        <charset val="128"/>
      </rPr>
      <t xml:space="preserve">
洪水ハザード標識の設置場所を拡充する。</t>
    </r>
    <rPh sb="0" eb="2">
      <t>コウズイ</t>
    </rPh>
    <rPh sb="6" eb="8">
      <t>ヒョウシキ</t>
    </rPh>
    <rPh sb="8" eb="10">
      <t>セッチ</t>
    </rPh>
    <rPh sb="10" eb="13">
      <t>イタクリョウ</t>
    </rPh>
    <rPh sb="15" eb="18">
      <t>コンネンド</t>
    </rPh>
    <rPh sb="19" eb="21">
      <t>トリク</t>
    </rPh>
    <rPh sb="23" eb="25">
      <t>コウズイ</t>
    </rPh>
    <rPh sb="29" eb="31">
      <t>ヒョウシキ</t>
    </rPh>
    <rPh sb="32" eb="34">
      <t>セッチ</t>
    </rPh>
    <rPh sb="34" eb="36">
      <t>バショ</t>
    </rPh>
    <rPh sb="37" eb="39">
      <t>カクジュウ</t>
    </rPh>
    <phoneticPr fontId="4"/>
  </si>
  <si>
    <t>まるごとまちごとハザードマップ事業</t>
    <rPh sb="15" eb="17">
      <t>ジギョウ</t>
    </rPh>
    <phoneticPr fontId="4"/>
  </si>
  <si>
    <r>
      <t>浚渫委託料</t>
    </r>
    <r>
      <rPr>
        <b/>
        <sz val="9"/>
        <rFont val="BIZ UDゴシック"/>
        <family val="3"/>
        <charset val="128"/>
      </rPr>
      <t/>
    </r>
    <rPh sb="0" eb="5">
      <t>シュンセツイタクリョウ</t>
    </rPh>
    <phoneticPr fontId="4"/>
  </si>
  <si>
    <t>流域貯留浸透事業</t>
    <rPh sb="0" eb="8">
      <t>リュウイキチョリュウシントウジギョウ</t>
    </rPh>
    <phoneticPr fontId="4"/>
  </si>
  <si>
    <r>
      <t xml:space="preserve">応急対策工事費410,000、施設用器具購入費50,000等
</t>
    </r>
    <r>
      <rPr>
        <b/>
        <sz val="9"/>
        <rFont val="BIZ UDゴシック"/>
        <family val="3"/>
        <charset val="128"/>
      </rPr>
      <t>【今年度の取組】</t>
    </r>
    <r>
      <rPr>
        <sz val="9"/>
        <rFont val="BIZ UDゴシック"/>
        <family val="3"/>
        <charset val="128"/>
      </rPr>
      <t xml:space="preserve">
排水ポンプなどの災害対策に係る整備を行う。</t>
    </r>
    <rPh sb="0" eb="2">
      <t>オウキュウ</t>
    </rPh>
    <rPh sb="2" eb="4">
      <t>タイサク</t>
    </rPh>
    <rPh sb="4" eb="6">
      <t>コウジ</t>
    </rPh>
    <rPh sb="15" eb="18">
      <t>シセツヨウ</t>
    </rPh>
    <rPh sb="18" eb="20">
      <t>キグ</t>
    </rPh>
    <rPh sb="20" eb="23">
      <t>コウニュウヒ</t>
    </rPh>
    <rPh sb="29" eb="30">
      <t>トウ</t>
    </rPh>
    <rPh sb="40" eb="42">
      <t>ハイスイ</t>
    </rPh>
    <rPh sb="48" eb="50">
      <t>サイガイ</t>
    </rPh>
    <rPh sb="50" eb="52">
      <t>タイサク</t>
    </rPh>
    <rPh sb="53" eb="54">
      <t>カカ</t>
    </rPh>
    <rPh sb="55" eb="57">
      <t>セイビ</t>
    </rPh>
    <rPh sb="58" eb="59">
      <t>オコナ</t>
    </rPh>
    <phoneticPr fontId="4"/>
  </si>
  <si>
    <t>応急対策事業</t>
    <rPh sb="0" eb="2">
      <t>オウキュウ</t>
    </rPh>
    <rPh sb="2" eb="4">
      <t>タイサク</t>
    </rPh>
    <rPh sb="4" eb="6">
      <t>ジギョウ</t>
    </rPh>
    <phoneticPr fontId="4"/>
  </si>
  <si>
    <r>
      <t>末田落し改修工事費</t>
    </r>
    <r>
      <rPr>
        <b/>
        <sz val="9"/>
        <rFont val="BIZ UDゴシック"/>
        <family val="3"/>
        <charset val="128"/>
      </rPr>
      <t/>
    </r>
    <rPh sb="0" eb="3">
      <t>スエダオト</t>
    </rPh>
    <rPh sb="4" eb="9">
      <t>カイシュウコウジヒ</t>
    </rPh>
    <phoneticPr fontId="4"/>
  </si>
  <si>
    <t>末田落し改修事業</t>
    <rPh sb="0" eb="3">
      <t>スエダオト</t>
    </rPh>
    <rPh sb="4" eb="8">
      <t>カイシュウジギョウ</t>
    </rPh>
    <phoneticPr fontId="4"/>
  </si>
  <si>
    <t>設計委託料30,000、平新川改修工事費140,000等</t>
    <rPh sb="0" eb="5">
      <t>セッケイイタクリョウ</t>
    </rPh>
    <rPh sb="12" eb="15">
      <t>タイラシンカワ</t>
    </rPh>
    <rPh sb="15" eb="20">
      <t>カイシュウコウジヒ</t>
    </rPh>
    <rPh sb="27" eb="28">
      <t>トウ</t>
    </rPh>
    <phoneticPr fontId="4"/>
  </si>
  <si>
    <t>平新川改修事業</t>
    <rPh sb="1" eb="3">
      <t>シンカワ</t>
    </rPh>
    <rPh sb="3" eb="7">
      <t>カイシュウジギョウ</t>
    </rPh>
    <phoneticPr fontId="4"/>
  </si>
  <si>
    <t>新川用水整備工事費</t>
    <rPh sb="0" eb="2">
      <t>シンカワ</t>
    </rPh>
    <rPh sb="2" eb="4">
      <t>ヨウスイ</t>
    </rPh>
    <rPh sb="4" eb="6">
      <t>セイビ</t>
    </rPh>
    <rPh sb="8" eb="9">
      <t>ヒ</t>
    </rPh>
    <phoneticPr fontId="4"/>
  </si>
  <si>
    <t>新川用水整備事業</t>
    <rPh sb="0" eb="2">
      <t>シンカワ</t>
    </rPh>
    <rPh sb="2" eb="4">
      <t>ヨウスイ</t>
    </rPh>
    <rPh sb="4" eb="6">
      <t>セイビ</t>
    </rPh>
    <rPh sb="6" eb="8">
      <t>ジギョウ</t>
    </rPh>
    <phoneticPr fontId="4"/>
  </si>
  <si>
    <t>光熱水費22,000、修繕料33,000、施設改修工事費96,000等</t>
    <rPh sb="0" eb="1">
      <t>ヒカリ</t>
    </rPh>
    <rPh sb="1" eb="2">
      <t>ネツ</t>
    </rPh>
    <rPh sb="2" eb="3">
      <t>ミズ</t>
    </rPh>
    <rPh sb="3" eb="4">
      <t>ヒ</t>
    </rPh>
    <rPh sb="21" eb="28">
      <t>シセツカイシュウコウジヒ</t>
    </rPh>
    <rPh sb="34" eb="35">
      <t>ナド</t>
    </rPh>
    <phoneticPr fontId="4"/>
  </si>
  <si>
    <t>排水機場施設維持管理費</t>
    <rPh sb="0" eb="3">
      <t>ハイスイキ</t>
    </rPh>
    <rPh sb="3" eb="4">
      <t>ジョウ</t>
    </rPh>
    <rPh sb="4" eb="6">
      <t>シセツ</t>
    </rPh>
    <rPh sb="6" eb="8">
      <t>イジ</t>
    </rPh>
    <rPh sb="8" eb="11">
      <t>カンリヒ</t>
    </rPh>
    <phoneticPr fontId="4"/>
  </si>
  <si>
    <t>修繕料6,500、浚渫委託料48,000等</t>
    <rPh sb="0" eb="3">
      <t>シュウゼンリョウ</t>
    </rPh>
    <rPh sb="9" eb="14">
      <t>シュンセツイタクリョウ</t>
    </rPh>
    <rPh sb="20" eb="21">
      <t>ナド</t>
    </rPh>
    <phoneticPr fontId="4"/>
  </si>
  <si>
    <t>河川施設維持管理費</t>
    <rPh sb="0" eb="4">
      <t>カセンシセツ</t>
    </rPh>
    <rPh sb="4" eb="6">
      <t>イジ</t>
    </rPh>
    <rPh sb="6" eb="9">
      <t>カンリヒ</t>
    </rPh>
    <phoneticPr fontId="4"/>
  </si>
  <si>
    <t>施設改修工事費</t>
    <rPh sb="0" eb="2">
      <t>シセツ</t>
    </rPh>
    <rPh sb="2" eb="4">
      <t>カイシュウ</t>
    </rPh>
    <rPh sb="4" eb="6">
      <t>コウジ</t>
    </rPh>
    <rPh sb="6" eb="7">
      <t>ヒ</t>
    </rPh>
    <phoneticPr fontId="4"/>
  </si>
  <si>
    <t>橋りょう耐震化整備事業</t>
    <rPh sb="0" eb="1">
      <t>キョウ</t>
    </rPh>
    <rPh sb="4" eb="7">
      <t>タイシンカ</t>
    </rPh>
    <rPh sb="7" eb="9">
      <t>セイビ</t>
    </rPh>
    <rPh sb="9" eb="11">
      <t>ジギョウ</t>
    </rPh>
    <phoneticPr fontId="4"/>
  </si>
  <si>
    <t>設計委託料53,500、橋りょう補修工事費77,000</t>
    <rPh sb="0" eb="2">
      <t>セッケイ</t>
    </rPh>
    <rPh sb="2" eb="5">
      <t>イタクリョウ</t>
    </rPh>
    <rPh sb="12" eb="13">
      <t>キョウ</t>
    </rPh>
    <rPh sb="16" eb="18">
      <t>ホシュウ</t>
    </rPh>
    <rPh sb="18" eb="20">
      <t>コウジ</t>
    </rPh>
    <rPh sb="20" eb="21">
      <t>ヒ</t>
    </rPh>
    <phoneticPr fontId="4"/>
  </si>
  <si>
    <t>橋りょう施設維持管理費</t>
    <rPh sb="0" eb="1">
      <t>キョウ</t>
    </rPh>
    <rPh sb="4" eb="6">
      <t>シセツ</t>
    </rPh>
    <rPh sb="6" eb="8">
      <t>イジ</t>
    </rPh>
    <rPh sb="8" eb="11">
      <t>カンリヒ</t>
    </rPh>
    <phoneticPr fontId="4"/>
  </si>
  <si>
    <t>白線等工事費5,000、交通安全応急対策工事費4,000</t>
    <rPh sb="0" eb="3">
      <t>ハクセントウ</t>
    </rPh>
    <rPh sb="3" eb="6">
      <t>コウジヒ</t>
    </rPh>
    <rPh sb="12" eb="16">
      <t>コウツウアンゼン</t>
    </rPh>
    <rPh sb="16" eb="20">
      <t>オウキュウタイサク</t>
    </rPh>
    <rPh sb="20" eb="23">
      <t>コウジヒ</t>
    </rPh>
    <phoneticPr fontId="4"/>
  </si>
  <si>
    <t>交通安全応急対策事業</t>
    <rPh sb="4" eb="10">
      <t>オウキュウタイサクジギョウ</t>
    </rPh>
    <phoneticPr fontId="4"/>
  </si>
  <si>
    <t>光熱水費71,000、道路照明灯借上料43,200、道路附属物等更新工事費26,000等</t>
    <rPh sb="0" eb="2">
      <t>コウネツ</t>
    </rPh>
    <rPh sb="26" eb="31">
      <t>ドウロフゾクブツ</t>
    </rPh>
    <rPh sb="31" eb="32">
      <t>トウ</t>
    </rPh>
    <rPh sb="32" eb="37">
      <t>コウシンコウジヒ</t>
    </rPh>
    <rPh sb="43" eb="44">
      <t>トウ</t>
    </rPh>
    <phoneticPr fontId="4"/>
  </si>
  <si>
    <t>交通安全施設整備事業</t>
    <rPh sb="4" eb="6">
      <t>シセツ</t>
    </rPh>
    <rPh sb="6" eb="8">
      <t>セイビ</t>
    </rPh>
    <phoneticPr fontId="4"/>
  </si>
  <si>
    <r>
      <t xml:space="preserve">自転車通行環境整備基礎調査業務委託料
</t>
    </r>
    <r>
      <rPr>
        <b/>
        <sz val="9"/>
        <rFont val="BIZ UDゴシック"/>
        <family val="3"/>
        <charset val="128"/>
      </rPr>
      <t>【今年度の取組】</t>
    </r>
    <r>
      <rPr>
        <sz val="9"/>
        <rFont val="BIZ UDゴシック"/>
        <family val="3"/>
        <charset val="128"/>
      </rPr>
      <t xml:space="preserve">
自転車通行空間の確保に向け、整備の可能性や方向性について調査・検討を行う。</t>
    </r>
    <rPh sb="20" eb="23">
      <t>コンネンド</t>
    </rPh>
    <rPh sb="24" eb="26">
      <t>トリク</t>
    </rPh>
    <rPh sb="62" eb="63">
      <t>オコナ</t>
    </rPh>
    <phoneticPr fontId="4"/>
  </si>
  <si>
    <t>自転車通行環境整備事業</t>
    <phoneticPr fontId="4"/>
  </si>
  <si>
    <r>
      <t xml:space="preserve">設計委託料
</t>
    </r>
    <r>
      <rPr>
        <b/>
        <sz val="9"/>
        <rFont val="BIZ UDゴシック"/>
        <family val="3"/>
        <charset val="128"/>
      </rPr>
      <t>【今年度の取組】</t>
    </r>
    <r>
      <rPr>
        <sz val="9"/>
        <rFont val="BIZ UDゴシック"/>
        <family val="3"/>
        <charset val="128"/>
      </rPr>
      <t xml:space="preserve">
千間台駅西口線の詳細設計を行う。</t>
    </r>
    <rPh sb="0" eb="2">
      <t>セッケイ</t>
    </rPh>
    <rPh sb="2" eb="5">
      <t>イタクリョウ</t>
    </rPh>
    <rPh sb="23" eb="25">
      <t>ショウサイ</t>
    </rPh>
    <phoneticPr fontId="4"/>
  </si>
  <si>
    <t>電線類地中化事業</t>
    <rPh sb="0" eb="2">
      <t>デンセン</t>
    </rPh>
    <rPh sb="2" eb="3">
      <t>ルイ</t>
    </rPh>
    <rPh sb="3" eb="8">
      <t>チチュウカジギョウ</t>
    </rPh>
    <phoneticPr fontId="4"/>
  </si>
  <si>
    <t>出羽堀沿道整備工事費14,000等</t>
    <rPh sb="16" eb="17">
      <t>トウ</t>
    </rPh>
    <phoneticPr fontId="4"/>
  </si>
  <si>
    <t>出羽堀沿道整備事業</t>
    <rPh sb="0" eb="2">
      <t>デワ</t>
    </rPh>
    <rPh sb="2" eb="3">
      <t>ホリ</t>
    </rPh>
    <rPh sb="3" eb="5">
      <t>エンドウ</t>
    </rPh>
    <phoneticPr fontId="4"/>
  </si>
  <si>
    <t>普通旅費20等</t>
    <rPh sb="0" eb="4">
      <t>フツウリョヒ</t>
    </rPh>
    <rPh sb="6" eb="7">
      <t>トウ</t>
    </rPh>
    <phoneticPr fontId="4"/>
  </si>
  <si>
    <t>道の駅整備事業</t>
    <rPh sb="0" eb="1">
      <t>ミチ</t>
    </rPh>
    <rPh sb="2" eb="3">
      <t>エキ</t>
    </rPh>
    <rPh sb="3" eb="7">
      <t>セイビジギョウ</t>
    </rPh>
    <phoneticPr fontId="4"/>
  </si>
  <si>
    <t>道路改良工事費18,600、通学路整備工事費35,000等</t>
    <rPh sb="14" eb="22">
      <t>ツウガクロセイビコウジヒ</t>
    </rPh>
    <rPh sb="28" eb="29">
      <t>トウ</t>
    </rPh>
    <phoneticPr fontId="4"/>
  </si>
  <si>
    <t>通学路安全対策事業</t>
    <rPh sb="0" eb="3">
      <t>ツウガクロ</t>
    </rPh>
    <rPh sb="3" eb="5">
      <t>アンゼン</t>
    </rPh>
    <rPh sb="5" eb="7">
      <t>タイサク</t>
    </rPh>
    <rPh sb="7" eb="9">
      <t>ジギョウ</t>
    </rPh>
    <phoneticPr fontId="4"/>
  </si>
  <si>
    <t>道路改良工事費38,000、道路敷等購入費54,200等</t>
    <rPh sb="14" eb="16">
      <t>ドウロ</t>
    </rPh>
    <rPh sb="16" eb="17">
      <t>シキ</t>
    </rPh>
    <rPh sb="17" eb="18">
      <t>トウ</t>
    </rPh>
    <rPh sb="18" eb="21">
      <t>コウニュウヒ</t>
    </rPh>
    <rPh sb="27" eb="28">
      <t>ナド</t>
    </rPh>
    <phoneticPr fontId="4"/>
  </si>
  <si>
    <t>設計委託料2,000、道路舗装工事費402,000</t>
    <rPh sb="0" eb="5">
      <t>セッケイイタクリョウ</t>
    </rPh>
    <phoneticPr fontId="4"/>
  </si>
  <si>
    <t>道路補修工事費90,000等</t>
    <rPh sb="6" eb="7">
      <t>ヒ</t>
    </rPh>
    <rPh sb="13" eb="14">
      <t>ナド</t>
    </rPh>
    <phoneticPr fontId="4"/>
  </si>
  <si>
    <t>土木費</t>
    <rPh sb="0" eb="2">
      <t>ドボク</t>
    </rPh>
    <rPh sb="2" eb="3">
      <t>ヒ</t>
    </rPh>
    <phoneticPr fontId="4"/>
  </si>
  <si>
    <r>
      <t>越谷市民まつり負担金4,000、観光協会補助金66,000等</t>
    </r>
    <r>
      <rPr>
        <b/>
        <sz val="9"/>
        <rFont val="BIZ UDゴシック"/>
        <family val="3"/>
        <charset val="128"/>
      </rPr>
      <t/>
    </r>
    <rPh sb="0" eb="2">
      <t>コシガヤ</t>
    </rPh>
    <rPh sb="2" eb="4">
      <t>シミン</t>
    </rPh>
    <rPh sb="7" eb="10">
      <t>フタンキン</t>
    </rPh>
    <rPh sb="29" eb="30">
      <t>トウ</t>
    </rPh>
    <phoneticPr fontId="4"/>
  </si>
  <si>
    <r>
      <t xml:space="preserve">ふるさと納税推進事務委託料11,000、ふるさと納税返礼品開発等支援補助金10,000等
</t>
    </r>
    <r>
      <rPr>
        <b/>
        <sz val="9"/>
        <rFont val="BIZ UDゴシック"/>
        <family val="3"/>
        <charset val="128"/>
      </rPr>
      <t>【今年度の取組】</t>
    </r>
    <r>
      <rPr>
        <sz val="9"/>
        <rFont val="BIZ UDゴシック"/>
        <family val="3"/>
        <charset val="128"/>
      </rPr>
      <t xml:space="preserve">
返礼品を通して、本市の魅力を発信し、ふるさと納税を推進するため、地域の魅力ある地場産品を返礼品として開拓するとともに、新たな返礼品を開発する事業者を支援する。</t>
    </r>
    <rPh sb="24" eb="26">
      <t>ノウゼイ</t>
    </rPh>
    <rPh sb="29" eb="31">
      <t>カイハツ</t>
    </rPh>
    <rPh sb="31" eb="32">
      <t>トウ</t>
    </rPh>
    <rPh sb="32" eb="34">
      <t>シエン</t>
    </rPh>
    <rPh sb="34" eb="37">
      <t>ホジョキン</t>
    </rPh>
    <rPh sb="43" eb="44">
      <t>トウ</t>
    </rPh>
    <phoneticPr fontId="4"/>
  </si>
  <si>
    <t>ふるさと納税推進事業</t>
    <rPh sb="4" eb="6">
      <t>ノウゼイ</t>
    </rPh>
    <rPh sb="6" eb="8">
      <t>スイシン</t>
    </rPh>
    <rPh sb="8" eb="10">
      <t>ジギョウ</t>
    </rPh>
    <phoneticPr fontId="4"/>
  </si>
  <si>
    <t>各種利子補給金2,530、各種融資預託金96,000等</t>
    <rPh sb="0" eb="2">
      <t>カクシュ</t>
    </rPh>
    <rPh sb="2" eb="3">
      <t>リ</t>
    </rPh>
    <rPh sb="3" eb="4">
      <t>シ</t>
    </rPh>
    <rPh sb="4" eb="7">
      <t>ホキュウキン</t>
    </rPh>
    <rPh sb="26" eb="27">
      <t>トウ</t>
    </rPh>
    <phoneticPr fontId="4"/>
  </si>
  <si>
    <t>中小企業資金融資事業</t>
    <rPh sb="0" eb="2">
      <t>チュウショウ</t>
    </rPh>
    <rPh sb="2" eb="4">
      <t>キギョウ</t>
    </rPh>
    <rPh sb="4" eb="6">
      <t>シキン</t>
    </rPh>
    <rPh sb="6" eb="8">
      <t>ユウシ</t>
    </rPh>
    <rPh sb="8" eb="10">
      <t>ジギョウ</t>
    </rPh>
    <phoneticPr fontId="6"/>
  </si>
  <si>
    <t>伝統的地場産業育成事業費補助金</t>
    <phoneticPr fontId="4"/>
  </si>
  <si>
    <t>伝統的地場産業育成支援事業</t>
    <phoneticPr fontId="4"/>
  </si>
  <si>
    <r>
      <t>地域企業プロモーション事業委託料3,000、埼玉東部工業展開催事業費補助金200</t>
    </r>
    <r>
      <rPr>
        <b/>
        <sz val="9"/>
        <rFont val="BIZ UDゴシック"/>
        <family val="3"/>
        <charset val="128"/>
      </rPr>
      <t/>
    </r>
    <rPh sb="0" eb="2">
      <t>チイキ</t>
    </rPh>
    <rPh sb="2" eb="4">
      <t>キギョウ</t>
    </rPh>
    <rPh sb="11" eb="13">
      <t>ジギョウ</t>
    </rPh>
    <rPh sb="13" eb="16">
      <t>イタクリョウ</t>
    </rPh>
    <rPh sb="22" eb="24">
      <t>サイタマ</t>
    </rPh>
    <rPh sb="24" eb="26">
      <t>トウブ</t>
    </rPh>
    <rPh sb="26" eb="28">
      <t>コウギョウ</t>
    </rPh>
    <rPh sb="28" eb="29">
      <t>テン</t>
    </rPh>
    <rPh sb="29" eb="31">
      <t>カイサイ</t>
    </rPh>
    <rPh sb="31" eb="34">
      <t>ジギョウヒ</t>
    </rPh>
    <rPh sb="34" eb="37">
      <t>ホジョキン</t>
    </rPh>
    <phoneticPr fontId="4"/>
  </si>
  <si>
    <t>ものづくり産業育成事業</t>
    <rPh sb="5" eb="7">
      <t>サンギョウ</t>
    </rPh>
    <rPh sb="7" eb="9">
      <t>イクセイ</t>
    </rPh>
    <rPh sb="9" eb="11">
      <t>ジギョウ</t>
    </rPh>
    <phoneticPr fontId="4"/>
  </si>
  <si>
    <t>商店街活性化推進事業費補助金</t>
    <phoneticPr fontId="4"/>
  </si>
  <si>
    <t>商店街活性化推進事業</t>
    <phoneticPr fontId="4"/>
  </si>
  <si>
    <t>住宅・店舗改修促進補助金</t>
    <phoneticPr fontId="4"/>
  </si>
  <si>
    <t>住宅・店舗改修促進事業</t>
    <rPh sb="0" eb="2">
      <t>ジュウタク</t>
    </rPh>
    <rPh sb="3" eb="5">
      <t>テンポ</t>
    </rPh>
    <rPh sb="5" eb="7">
      <t>カイシュウ</t>
    </rPh>
    <rPh sb="7" eb="9">
      <t>ソクシン</t>
    </rPh>
    <rPh sb="9" eb="11">
      <t>ジギョウ</t>
    </rPh>
    <phoneticPr fontId="4"/>
  </si>
  <si>
    <r>
      <t xml:space="preserve">水辺の創業まちづくり事業委託料5,000、創業者支援補助金7,000等
</t>
    </r>
    <r>
      <rPr>
        <b/>
        <sz val="9"/>
        <rFont val="BIZ UDゴシック"/>
        <family val="3"/>
        <charset val="128"/>
      </rPr>
      <t>【今年度の取組】</t>
    </r>
    <r>
      <rPr>
        <sz val="9"/>
        <rFont val="BIZ UDゴシック"/>
        <family val="3"/>
        <charset val="128"/>
      </rPr>
      <t xml:space="preserve">
大相模調節池の水辺で地域課題の解決に取り組む創業者を支援するとともに、にぎわいの創出やコミュニティの醸成を図る。</t>
    </r>
    <rPh sb="0" eb="2">
      <t>ミズベ</t>
    </rPh>
    <rPh sb="3" eb="5">
      <t>ソウギョウ</t>
    </rPh>
    <rPh sb="10" eb="15">
      <t>ジギョウイタクリョウ</t>
    </rPh>
    <rPh sb="21" eb="24">
      <t>ソウギョウシャ</t>
    </rPh>
    <rPh sb="24" eb="26">
      <t>シエン</t>
    </rPh>
    <rPh sb="26" eb="29">
      <t>ホジョキン</t>
    </rPh>
    <rPh sb="34" eb="35">
      <t>トウ</t>
    </rPh>
    <rPh sb="55" eb="59">
      <t>チイキカダイ</t>
    </rPh>
    <rPh sb="60" eb="62">
      <t>カイケツ</t>
    </rPh>
    <rPh sb="63" eb="64">
      <t>ト</t>
    </rPh>
    <rPh sb="65" eb="66">
      <t>ク</t>
    </rPh>
    <rPh sb="67" eb="69">
      <t>ソウギョウ</t>
    </rPh>
    <rPh sb="69" eb="70">
      <t>シャ</t>
    </rPh>
    <rPh sb="71" eb="73">
      <t>シエン</t>
    </rPh>
    <rPh sb="85" eb="87">
      <t>ソウシュツ</t>
    </rPh>
    <rPh sb="95" eb="97">
      <t>ジョウセイ</t>
    </rPh>
    <rPh sb="98" eb="99">
      <t>ハカ</t>
    </rPh>
    <phoneticPr fontId="4"/>
  </si>
  <si>
    <t>創業者育成支援事業</t>
    <phoneticPr fontId="4"/>
  </si>
  <si>
    <r>
      <t xml:space="preserve">ビジネスサポート事業委託料12,200、Ｍａｄｅ　ｉｎ　ＫＯＳＨＩＧＡＹＡ事業委託料5,000、ビジネスパワーアップ補助金15,000等
</t>
    </r>
    <r>
      <rPr>
        <b/>
        <sz val="9"/>
        <rFont val="BIZ UDゴシック"/>
        <family val="3"/>
        <charset val="128"/>
      </rPr>
      <t>【今年度の取組】</t>
    </r>
    <r>
      <rPr>
        <sz val="9"/>
        <rFont val="BIZ UDゴシック"/>
        <family val="3"/>
        <charset val="128"/>
      </rPr>
      <t xml:space="preserve">
地域に根差した、地域ならではの価値観がある地場産品等の魅力を発掘・発信する。</t>
    </r>
    <rPh sb="8" eb="10">
      <t>ジギョウ</t>
    </rPh>
    <rPh sb="10" eb="12">
      <t>イタク</t>
    </rPh>
    <rPh sb="12" eb="13">
      <t>リョウ</t>
    </rPh>
    <rPh sb="58" eb="61">
      <t>ホジョキン</t>
    </rPh>
    <rPh sb="67" eb="68">
      <t>トウ</t>
    </rPh>
    <phoneticPr fontId="4"/>
  </si>
  <si>
    <t>産業活性化推進事業</t>
    <rPh sb="0" eb="2">
      <t>サンギョウ</t>
    </rPh>
    <rPh sb="2" eb="4">
      <t>カッセイ</t>
    </rPh>
    <rPh sb="4" eb="5">
      <t>カ</t>
    </rPh>
    <rPh sb="5" eb="7">
      <t>スイシン</t>
    </rPh>
    <rPh sb="7" eb="9">
      <t>ジギョウ</t>
    </rPh>
    <phoneticPr fontId="4"/>
  </si>
  <si>
    <t>商工費</t>
    <rPh sb="0" eb="2">
      <t>ショウコウ</t>
    </rPh>
    <rPh sb="2" eb="3">
      <t>ヒ</t>
    </rPh>
    <phoneticPr fontId="4"/>
  </si>
  <si>
    <t>かんがい排水整備工事費184,600等</t>
    <phoneticPr fontId="4"/>
  </si>
  <si>
    <t>農道整備工事費6,600等</t>
    <rPh sb="0" eb="2">
      <t>ノウドウ</t>
    </rPh>
    <rPh sb="2" eb="4">
      <t>セイビ</t>
    </rPh>
    <rPh sb="4" eb="7">
      <t>コウジヒ</t>
    </rPh>
    <rPh sb="12" eb="13">
      <t>トウ</t>
    </rPh>
    <phoneticPr fontId="4"/>
  </si>
  <si>
    <t>農道整備事業</t>
    <rPh sb="0" eb="2">
      <t>ノウドウ</t>
    </rPh>
    <rPh sb="2" eb="4">
      <t>セイビ</t>
    </rPh>
    <rPh sb="4" eb="6">
      <t>ジギョウ</t>
    </rPh>
    <phoneticPr fontId="4"/>
  </si>
  <si>
    <r>
      <t xml:space="preserve">測量委託料19,000、農業振興地域整備計画策定支援業務委託料7,000、増林地区農地耕作条件改善事業費負担金18,300等
</t>
    </r>
    <r>
      <rPr>
        <b/>
        <sz val="9"/>
        <rFont val="BIZ UDゴシック"/>
        <family val="3"/>
        <charset val="128"/>
      </rPr>
      <t>【今年度の取組】</t>
    </r>
    <r>
      <rPr>
        <sz val="9"/>
        <rFont val="BIZ UDゴシック"/>
        <family val="3"/>
        <charset val="128"/>
      </rPr>
      <t xml:space="preserve">
農地利用集積を進めるため、西新井・長島地区の測量及び増林地区の基盤整備を実施する。</t>
    </r>
    <rPh sb="0" eb="2">
      <t>ソクリョウ</t>
    </rPh>
    <rPh sb="2" eb="5">
      <t>イタクリョウ</t>
    </rPh>
    <rPh sb="12" eb="14">
      <t>ノウギョウ</t>
    </rPh>
    <rPh sb="14" eb="16">
      <t>シンコウ</t>
    </rPh>
    <rPh sb="16" eb="18">
      <t>チイキ</t>
    </rPh>
    <rPh sb="18" eb="20">
      <t>セイビ</t>
    </rPh>
    <rPh sb="20" eb="22">
      <t>ケイカク</t>
    </rPh>
    <rPh sb="22" eb="24">
      <t>サクテイ</t>
    </rPh>
    <rPh sb="24" eb="26">
      <t>シエン</t>
    </rPh>
    <rPh sb="26" eb="28">
      <t>ギョウム</t>
    </rPh>
    <rPh sb="28" eb="31">
      <t>イタクリョウ</t>
    </rPh>
    <rPh sb="37" eb="39">
      <t>マシバヤシ</t>
    </rPh>
    <rPh sb="39" eb="41">
      <t>チク</t>
    </rPh>
    <rPh sb="41" eb="45">
      <t>ノウチコウサク</t>
    </rPh>
    <rPh sb="45" eb="47">
      <t>ジョウケン</t>
    </rPh>
    <rPh sb="47" eb="49">
      <t>カイゼン</t>
    </rPh>
    <rPh sb="49" eb="52">
      <t>ジギョウヒ</t>
    </rPh>
    <rPh sb="52" eb="55">
      <t>フタンキン</t>
    </rPh>
    <rPh sb="61" eb="62">
      <t>トウ</t>
    </rPh>
    <rPh sb="85" eb="88">
      <t>ニシアライ</t>
    </rPh>
    <rPh sb="89" eb="91">
      <t>ナガシマ</t>
    </rPh>
    <rPh sb="91" eb="93">
      <t>チク</t>
    </rPh>
    <rPh sb="98" eb="100">
      <t>マシバヤシ</t>
    </rPh>
    <rPh sb="100" eb="102">
      <t>チク</t>
    </rPh>
    <phoneticPr fontId="4"/>
  </si>
  <si>
    <t>農地利用集積事業</t>
    <rPh sb="0" eb="2">
      <t>ノウチ</t>
    </rPh>
    <rPh sb="2" eb="4">
      <t>リヨウ</t>
    </rPh>
    <rPh sb="4" eb="6">
      <t>シュウセキ</t>
    </rPh>
    <rPh sb="6" eb="8">
      <t>ジギョウ</t>
    </rPh>
    <phoneticPr fontId="4"/>
  </si>
  <si>
    <t>越谷市特別認定農業者補助金5,000、新規就農・農業後継者育成研修助成金3,900等</t>
    <rPh sb="0" eb="3">
      <t>コシガヤシ</t>
    </rPh>
    <rPh sb="3" eb="7">
      <t>トクベツニンテイ</t>
    </rPh>
    <rPh sb="7" eb="13">
      <t>ノウギョウシャホジョキン</t>
    </rPh>
    <rPh sb="26" eb="28">
      <t>コウケイ</t>
    </rPh>
    <rPh sb="29" eb="31">
      <t>イクセイ</t>
    </rPh>
    <rPh sb="31" eb="33">
      <t>ケンシュウ</t>
    </rPh>
    <rPh sb="33" eb="35">
      <t>ジョセイ</t>
    </rPh>
    <rPh sb="35" eb="36">
      <t>キン</t>
    </rPh>
    <rPh sb="41" eb="42">
      <t>トウ</t>
    </rPh>
    <phoneticPr fontId="4"/>
  </si>
  <si>
    <t>農業従事・後継者育成事業</t>
    <rPh sb="0" eb="2">
      <t>ノウギョウ</t>
    </rPh>
    <rPh sb="2" eb="4">
      <t>ジュウジ</t>
    </rPh>
    <rPh sb="5" eb="8">
      <t>コウケイシャ</t>
    </rPh>
    <rPh sb="8" eb="10">
      <t>イクセイ</t>
    </rPh>
    <rPh sb="10" eb="12">
      <t>ジギョウ</t>
    </rPh>
    <phoneticPr fontId="4"/>
  </si>
  <si>
    <r>
      <t xml:space="preserve">特別栽培農産物生産促進補助金600等
</t>
    </r>
    <r>
      <rPr>
        <b/>
        <sz val="9"/>
        <rFont val="BIZ UDゴシック"/>
        <family val="3"/>
        <charset val="128"/>
      </rPr>
      <t>【今年度の取組】</t>
    </r>
    <r>
      <rPr>
        <sz val="9"/>
        <rFont val="BIZ UDゴシック"/>
        <family val="3"/>
        <charset val="128"/>
      </rPr>
      <t xml:space="preserve">
環境に配慮した農業を推進するため、特別栽培農産物を生産する農業者を支援する。</t>
    </r>
    <rPh sb="0" eb="2">
      <t>トクベツ</t>
    </rPh>
    <rPh sb="2" eb="4">
      <t>サイバイ</t>
    </rPh>
    <rPh sb="4" eb="7">
      <t>ノウサンブツ</t>
    </rPh>
    <rPh sb="7" eb="9">
      <t>セイサン</t>
    </rPh>
    <rPh sb="9" eb="11">
      <t>ソクシン</t>
    </rPh>
    <rPh sb="11" eb="14">
      <t>ホジョキン</t>
    </rPh>
    <rPh sb="17" eb="18">
      <t>トウ</t>
    </rPh>
    <rPh sb="20" eb="23">
      <t>コンネンド</t>
    </rPh>
    <rPh sb="24" eb="26">
      <t>トリクミ</t>
    </rPh>
    <rPh sb="28" eb="30">
      <t>カンキョウ</t>
    </rPh>
    <rPh sb="31" eb="33">
      <t>ハイリョ</t>
    </rPh>
    <rPh sb="35" eb="37">
      <t>ノウギョウ</t>
    </rPh>
    <rPh sb="38" eb="40">
      <t>スイシン</t>
    </rPh>
    <rPh sb="45" eb="47">
      <t>トクベツ</t>
    </rPh>
    <rPh sb="47" eb="49">
      <t>サイバイ</t>
    </rPh>
    <rPh sb="49" eb="52">
      <t>ノウサンブツ</t>
    </rPh>
    <rPh sb="53" eb="55">
      <t>セイサン</t>
    </rPh>
    <rPh sb="57" eb="59">
      <t>ノウギョウ</t>
    </rPh>
    <rPh sb="59" eb="60">
      <t>シャ</t>
    </rPh>
    <rPh sb="61" eb="63">
      <t>シエン</t>
    </rPh>
    <phoneticPr fontId="4"/>
  </si>
  <si>
    <t>農業環境衛生改善事業</t>
    <rPh sb="0" eb="2">
      <t>ノウギョウ</t>
    </rPh>
    <rPh sb="2" eb="6">
      <t>カンキョウエイセイ</t>
    </rPh>
    <rPh sb="6" eb="8">
      <t>カイゼン</t>
    </rPh>
    <rPh sb="8" eb="10">
      <t>ジギョウ</t>
    </rPh>
    <phoneticPr fontId="4"/>
  </si>
  <si>
    <t>学校給食米生産奨励事業助成金3,500等</t>
    <rPh sb="0" eb="2">
      <t>ガッコウ</t>
    </rPh>
    <rPh sb="2" eb="4">
      <t>キュウショク</t>
    </rPh>
    <rPh sb="4" eb="5">
      <t>マイ</t>
    </rPh>
    <rPh sb="5" eb="7">
      <t>セイサン</t>
    </rPh>
    <rPh sb="7" eb="9">
      <t>ショウレイ</t>
    </rPh>
    <rPh sb="9" eb="11">
      <t>ジギョウ</t>
    </rPh>
    <rPh sb="11" eb="13">
      <t>ジョセイ</t>
    </rPh>
    <rPh sb="13" eb="14">
      <t>キン</t>
    </rPh>
    <rPh sb="19" eb="20">
      <t>トウ</t>
    </rPh>
    <phoneticPr fontId="4"/>
  </si>
  <si>
    <t>地産地消推進事業</t>
    <phoneticPr fontId="4"/>
  </si>
  <si>
    <t>印刷製本費50、学校給食米生産奨励事業助成金2,520</t>
    <rPh sb="0" eb="2">
      <t>インサツ</t>
    </rPh>
    <rPh sb="2" eb="4">
      <t>セイホン</t>
    </rPh>
    <rPh sb="4" eb="5">
      <t>ヒ</t>
    </rPh>
    <rPh sb="8" eb="10">
      <t>ガッコウ</t>
    </rPh>
    <rPh sb="9" eb="10">
      <t>コウ</t>
    </rPh>
    <rPh sb="10" eb="12">
      <t>キュウショク</t>
    </rPh>
    <rPh sb="12" eb="13">
      <t>コメ</t>
    </rPh>
    <rPh sb="13" eb="15">
      <t>セイサン</t>
    </rPh>
    <rPh sb="15" eb="17">
      <t>ショウレイ</t>
    </rPh>
    <rPh sb="17" eb="19">
      <t>ジギョウ</t>
    </rPh>
    <rPh sb="19" eb="21">
      <t>ジョセイ</t>
    </rPh>
    <rPh sb="21" eb="22">
      <t>キン</t>
    </rPh>
    <phoneticPr fontId="4"/>
  </si>
  <si>
    <r>
      <t>修繕料6,400、試験栽培委託料21,000、光熱費9,000等</t>
    </r>
    <r>
      <rPr>
        <b/>
        <sz val="9"/>
        <rFont val="BIZ UDゴシック"/>
        <family val="3"/>
        <charset val="128"/>
      </rPr>
      <t/>
    </r>
    <rPh sb="0" eb="3">
      <t>シュウゼンリョウ</t>
    </rPh>
    <rPh sb="9" eb="16">
      <t>シケンサイバイイタクリョウ</t>
    </rPh>
    <rPh sb="23" eb="26">
      <t>コウネツヒ</t>
    </rPh>
    <rPh sb="31" eb="32">
      <t>トウ</t>
    </rPh>
    <phoneticPr fontId="4"/>
  </si>
  <si>
    <t>都市農業推進支援事業</t>
    <rPh sb="0" eb="10">
      <t>トシノウギョウスイシンシエンジギョウ</t>
    </rPh>
    <phoneticPr fontId="4"/>
  </si>
  <si>
    <t>修繕料7,700、特産物生産奨励助成金730等</t>
  </si>
  <si>
    <t>農業生産力強化事業</t>
    <rPh sb="2" eb="9">
      <t>セイサンリョクキョウカジギョウ</t>
    </rPh>
    <phoneticPr fontId="4"/>
  </si>
  <si>
    <t>農林水産業費</t>
    <rPh sb="0" eb="2">
      <t>ノウリン</t>
    </rPh>
    <rPh sb="2" eb="4">
      <t>スイサン</t>
    </rPh>
    <rPh sb="4" eb="5">
      <t>ギョウ</t>
    </rPh>
    <rPh sb="5" eb="6">
      <t>ヒ</t>
    </rPh>
    <phoneticPr fontId="4"/>
  </si>
  <si>
    <t>就職支援セミナー事業委託料</t>
    <rPh sb="0" eb="4">
      <t>シュウショクシエン</t>
    </rPh>
    <rPh sb="8" eb="13">
      <t>ジギョウイタクリョウ</t>
    </rPh>
    <phoneticPr fontId="4"/>
  </si>
  <si>
    <t>職業能力開発支援事業</t>
    <rPh sb="0" eb="2">
      <t>ショクギョウ</t>
    </rPh>
    <rPh sb="2" eb="4">
      <t>ノウリョク</t>
    </rPh>
    <rPh sb="4" eb="6">
      <t>カイハツ</t>
    </rPh>
    <rPh sb="6" eb="8">
      <t>シエン</t>
    </rPh>
    <rPh sb="8" eb="10">
      <t>ジギョウ</t>
    </rPh>
    <phoneticPr fontId="4"/>
  </si>
  <si>
    <t>シルバー人材センター推進事業費補助金13,800等</t>
    <rPh sb="24" eb="25">
      <t>ナド</t>
    </rPh>
    <phoneticPr fontId="4"/>
  </si>
  <si>
    <t>高年齢者就業支援事業</t>
    <rPh sb="0" eb="3">
      <t>コウネンレイ</t>
    </rPh>
    <rPh sb="3" eb="4">
      <t>シャ</t>
    </rPh>
    <rPh sb="4" eb="6">
      <t>シュウギョウ</t>
    </rPh>
    <rPh sb="6" eb="8">
      <t>シエン</t>
    </rPh>
    <rPh sb="8" eb="10">
      <t>ジギョウ</t>
    </rPh>
    <phoneticPr fontId="4"/>
  </si>
  <si>
    <t>若年者等就職支援事業委託料</t>
    <rPh sb="0" eb="2">
      <t>ジャクネン</t>
    </rPh>
    <rPh sb="2" eb="3">
      <t>シャ</t>
    </rPh>
    <rPh sb="3" eb="4">
      <t>トウ</t>
    </rPh>
    <rPh sb="4" eb="6">
      <t>シュウショク</t>
    </rPh>
    <rPh sb="6" eb="8">
      <t>シエン</t>
    </rPh>
    <rPh sb="8" eb="10">
      <t>ジギョウ</t>
    </rPh>
    <rPh sb="10" eb="13">
      <t>イタクリョウ</t>
    </rPh>
    <phoneticPr fontId="4"/>
  </si>
  <si>
    <t>労働費</t>
    <rPh sb="0" eb="3">
      <t>ロウドウヒ</t>
    </rPh>
    <phoneticPr fontId="4"/>
  </si>
  <si>
    <t>病院事業会計負担金</t>
  </si>
  <si>
    <t>病院事業支出金</t>
  </si>
  <si>
    <t>消耗品費1,200、産業廃棄物情報管理システム保守管理委託料6,300等</t>
    <rPh sb="0" eb="2">
      <t>ショウモウ</t>
    </rPh>
    <rPh sb="2" eb="3">
      <t>ヒン</t>
    </rPh>
    <rPh sb="3" eb="4">
      <t>ヒ</t>
    </rPh>
    <rPh sb="10" eb="15">
      <t>サンギョウハイキブツ</t>
    </rPh>
    <rPh sb="15" eb="19">
      <t>ジョウホウカンリ</t>
    </rPh>
    <rPh sb="23" eb="25">
      <t>ホシュ</t>
    </rPh>
    <rPh sb="25" eb="27">
      <t>カンリ</t>
    </rPh>
    <rPh sb="27" eb="30">
      <t>イタクリョウ</t>
    </rPh>
    <rPh sb="35" eb="36">
      <t>ナド</t>
    </rPh>
    <phoneticPr fontId="4"/>
  </si>
  <si>
    <t>産業廃棄物対策事業</t>
    <rPh sb="0" eb="2">
      <t>サンギョウ</t>
    </rPh>
    <rPh sb="2" eb="5">
      <t>ハイキブツ</t>
    </rPh>
    <rPh sb="5" eb="7">
      <t>タイサク</t>
    </rPh>
    <rPh sb="7" eb="9">
      <t>ジギョウ</t>
    </rPh>
    <phoneticPr fontId="4"/>
  </si>
  <si>
    <t>消耗品費1,900、不法投棄等ごみ収集運搬委託料1,000、分煙機器借上料2,820等</t>
    <rPh sb="0" eb="4">
      <t>ショウモウヒンヒ</t>
    </rPh>
    <rPh sb="10" eb="12">
      <t>フホウ</t>
    </rPh>
    <rPh sb="12" eb="14">
      <t>トウキ</t>
    </rPh>
    <rPh sb="14" eb="15">
      <t>トウ</t>
    </rPh>
    <rPh sb="17" eb="19">
      <t>シュウシュウ</t>
    </rPh>
    <rPh sb="19" eb="21">
      <t>ウンパン</t>
    </rPh>
    <rPh sb="21" eb="24">
      <t>イタクリョウ</t>
    </rPh>
    <rPh sb="42" eb="43">
      <t>トウ</t>
    </rPh>
    <phoneticPr fontId="4"/>
  </si>
  <si>
    <t>環境美化事業</t>
    <rPh sb="0" eb="4">
      <t>カンキョウビカ</t>
    </rPh>
    <rPh sb="4" eb="6">
      <t>ジギョウ</t>
    </rPh>
    <phoneticPr fontId="4"/>
  </si>
  <si>
    <r>
      <t>消耗品費1,300、人材派遣手数料1,800、生ごみ処理器製作委託料700等</t>
    </r>
    <r>
      <rPr>
        <b/>
        <sz val="9"/>
        <rFont val="BIZ UDゴシック"/>
        <family val="3"/>
        <charset val="128"/>
      </rPr>
      <t/>
    </r>
    <rPh sb="0" eb="4">
      <t>ショウモウヒンヒ</t>
    </rPh>
    <rPh sb="10" eb="14">
      <t>ジンザイハケン</t>
    </rPh>
    <rPh sb="14" eb="17">
      <t>テスウリョウ</t>
    </rPh>
    <rPh sb="23" eb="24">
      <t>ナマ</t>
    </rPh>
    <rPh sb="26" eb="28">
      <t>ショリ</t>
    </rPh>
    <rPh sb="28" eb="29">
      <t>キ</t>
    </rPh>
    <rPh sb="29" eb="31">
      <t>セイサク</t>
    </rPh>
    <rPh sb="31" eb="34">
      <t>イタクリョウ</t>
    </rPh>
    <rPh sb="37" eb="38">
      <t>ナド</t>
    </rPh>
    <phoneticPr fontId="4"/>
  </si>
  <si>
    <t>修理再生等啓発事業</t>
    <rPh sb="0" eb="2">
      <t>シュウリ</t>
    </rPh>
    <rPh sb="2" eb="5">
      <t>サイセイトウ</t>
    </rPh>
    <rPh sb="5" eb="7">
      <t>ケイハツ</t>
    </rPh>
    <rPh sb="7" eb="9">
      <t>ジギョウ</t>
    </rPh>
    <phoneticPr fontId="4"/>
  </si>
  <si>
    <t>修繕料47,000、清掃委託料14,000、運転管理委託料188,000等</t>
    <rPh sb="0" eb="2">
      <t>シュウゼン</t>
    </rPh>
    <rPh sb="2" eb="3">
      <t>リョウ</t>
    </rPh>
    <rPh sb="36" eb="37">
      <t>トウ</t>
    </rPh>
    <phoneticPr fontId="4"/>
  </si>
  <si>
    <t>リサイクルプラザ施設管理費</t>
    <rPh sb="8" eb="10">
      <t>シセツ</t>
    </rPh>
    <rPh sb="10" eb="12">
      <t>カンリ</t>
    </rPh>
    <rPh sb="12" eb="13">
      <t>ヒ</t>
    </rPh>
    <phoneticPr fontId="4"/>
  </si>
  <si>
    <t>消耗品費2,400、修繕料11,000、自動車購入費22,000等</t>
    <rPh sb="10" eb="13">
      <t>シュウゼンリョウ</t>
    </rPh>
    <rPh sb="20" eb="23">
      <t>ジドウシャ</t>
    </rPh>
    <rPh sb="23" eb="26">
      <t>コウニュウヒ</t>
    </rPh>
    <rPh sb="32" eb="33">
      <t>トウ</t>
    </rPh>
    <phoneticPr fontId="4"/>
  </si>
  <si>
    <t>不燃ごみ収集等事業</t>
    <rPh sb="0" eb="2">
      <t>フネン</t>
    </rPh>
    <rPh sb="4" eb="7">
      <t>シュウシュウトウ</t>
    </rPh>
    <rPh sb="7" eb="9">
      <t>ジギョウ</t>
    </rPh>
    <phoneticPr fontId="4"/>
  </si>
  <si>
    <t>粗大ごみ等収集運搬委託料64,000等</t>
    <rPh sb="18" eb="19">
      <t>トウ</t>
    </rPh>
    <phoneticPr fontId="4"/>
  </si>
  <si>
    <t>粗大ごみ等収集運搬事業</t>
  </si>
  <si>
    <t>可燃物収集運搬委託料</t>
  </si>
  <si>
    <t>可燃物収集運搬事業</t>
  </si>
  <si>
    <t>資源物等収集運搬委託料328,000等</t>
    <rPh sb="18" eb="19">
      <t>トウ</t>
    </rPh>
    <phoneticPr fontId="4"/>
  </si>
  <si>
    <t>資源物分別収集事業</t>
    <rPh sb="2" eb="3">
      <t>ブツ</t>
    </rPh>
    <rPh sb="3" eb="5">
      <t>ブンベツ</t>
    </rPh>
    <phoneticPr fontId="4"/>
  </si>
  <si>
    <t>資源回収奨励補助金</t>
  </si>
  <si>
    <t>資源回収奨励補助金交付事業</t>
  </si>
  <si>
    <t>東埼玉資源環境組合負担金</t>
  </si>
  <si>
    <t>東埼玉資源環境組合負担金事業</t>
  </si>
  <si>
    <t>森林環境譲与税基金</t>
  </si>
  <si>
    <t>森林環境譲与税基金費</t>
  </si>
  <si>
    <t>合併処理浄化槽設置補助金31,000等</t>
    <rPh sb="0" eb="2">
      <t>ガッペイ</t>
    </rPh>
    <rPh sb="2" eb="4">
      <t>ショリ</t>
    </rPh>
    <rPh sb="4" eb="7">
      <t>ジョウカソウ</t>
    </rPh>
    <rPh sb="7" eb="9">
      <t>セッチ</t>
    </rPh>
    <rPh sb="9" eb="12">
      <t>ホジョキン</t>
    </rPh>
    <rPh sb="18" eb="19">
      <t>ナド</t>
    </rPh>
    <phoneticPr fontId="4"/>
  </si>
  <si>
    <t>生活排水対策事業</t>
  </si>
  <si>
    <t>公害分析委託料21,000、大気汚染自動測定機保守管理等委託料8,400等</t>
    <rPh sb="0" eb="2">
      <t>コウガイ</t>
    </rPh>
    <rPh sb="2" eb="4">
      <t>ブンセキ</t>
    </rPh>
    <rPh sb="4" eb="6">
      <t>イタク</t>
    </rPh>
    <rPh sb="6" eb="7">
      <t>リョウ</t>
    </rPh>
    <rPh sb="14" eb="16">
      <t>タイキ</t>
    </rPh>
    <rPh sb="16" eb="18">
      <t>オセン</t>
    </rPh>
    <rPh sb="18" eb="20">
      <t>ジドウ</t>
    </rPh>
    <rPh sb="20" eb="22">
      <t>ソクテイ</t>
    </rPh>
    <rPh sb="22" eb="23">
      <t>キ</t>
    </rPh>
    <rPh sb="23" eb="25">
      <t>ホシュ</t>
    </rPh>
    <rPh sb="25" eb="27">
      <t>カンリ</t>
    </rPh>
    <rPh sb="27" eb="28">
      <t>トウ</t>
    </rPh>
    <rPh sb="28" eb="31">
      <t>イタクリョウ</t>
    </rPh>
    <rPh sb="36" eb="37">
      <t>ナド</t>
    </rPh>
    <phoneticPr fontId="4"/>
  </si>
  <si>
    <t>大気・水質対策事業</t>
    <rPh sb="0" eb="2">
      <t>タイキ</t>
    </rPh>
    <rPh sb="3" eb="5">
      <t>スイシツ</t>
    </rPh>
    <rPh sb="5" eb="7">
      <t>タイサク</t>
    </rPh>
    <rPh sb="7" eb="9">
      <t>ジギョウ</t>
    </rPh>
    <phoneticPr fontId="4"/>
  </si>
  <si>
    <t>有害鳥獣処理委託料2,400、特定外来生物防除業務委託料1,600、カラス被害対策業務委託料700等</t>
    <rPh sb="0" eb="4">
      <t>ユウガイチョウジュウ</t>
    </rPh>
    <rPh sb="4" eb="6">
      <t>ショリ</t>
    </rPh>
    <rPh sb="6" eb="9">
      <t>イタクリョウ</t>
    </rPh>
    <rPh sb="15" eb="21">
      <t>トクテイガイライセイブツ</t>
    </rPh>
    <rPh sb="21" eb="23">
      <t>ボウジョ</t>
    </rPh>
    <rPh sb="23" eb="25">
      <t>ギョウム</t>
    </rPh>
    <rPh sb="25" eb="27">
      <t>イタク</t>
    </rPh>
    <rPh sb="27" eb="28">
      <t>リョウ</t>
    </rPh>
    <rPh sb="49" eb="50">
      <t>トウ</t>
    </rPh>
    <phoneticPr fontId="4"/>
  </si>
  <si>
    <t>生物多様性保全・回復事業</t>
    <rPh sb="0" eb="2">
      <t>セイブツ</t>
    </rPh>
    <rPh sb="2" eb="5">
      <t>タヨウセイ</t>
    </rPh>
    <rPh sb="5" eb="7">
      <t>ホゼン</t>
    </rPh>
    <rPh sb="8" eb="10">
      <t>カイフク</t>
    </rPh>
    <rPh sb="10" eb="12">
      <t>ジギョウ</t>
    </rPh>
    <phoneticPr fontId="4"/>
  </si>
  <si>
    <t>ゼロカーボン推進補助金</t>
    <rPh sb="6" eb="8">
      <t>スイシン</t>
    </rPh>
    <rPh sb="8" eb="11">
      <t>ホジョキン</t>
    </rPh>
    <phoneticPr fontId="4"/>
  </si>
  <si>
    <t>再生可能エネルギー推進事業</t>
    <rPh sb="0" eb="2">
      <t>サイセイ</t>
    </rPh>
    <rPh sb="2" eb="4">
      <t>カノウ</t>
    </rPh>
    <rPh sb="9" eb="11">
      <t>スイシン</t>
    </rPh>
    <rPh sb="11" eb="13">
      <t>ジギョウ</t>
    </rPh>
    <phoneticPr fontId="4"/>
  </si>
  <si>
    <r>
      <t>消耗品費4,600、こしがや・おがの交流の森整備事業費負担金5,000等</t>
    </r>
    <r>
      <rPr>
        <b/>
        <sz val="9"/>
        <rFont val="BIZ UDゴシック"/>
        <family val="3"/>
        <charset val="128"/>
      </rPr>
      <t/>
    </r>
    <rPh sb="0" eb="4">
      <t>ショウモウヒンヒ</t>
    </rPh>
    <rPh sb="18" eb="20">
      <t>コウリュウ</t>
    </rPh>
    <rPh sb="21" eb="22">
      <t>モリ</t>
    </rPh>
    <rPh sb="22" eb="24">
      <t>セイビ</t>
    </rPh>
    <rPh sb="24" eb="27">
      <t>ジギョウヒ</t>
    </rPh>
    <rPh sb="27" eb="30">
      <t>フタンキン</t>
    </rPh>
    <rPh sb="35" eb="36">
      <t>トウ</t>
    </rPh>
    <phoneticPr fontId="4"/>
  </si>
  <si>
    <t>地球温暖化対策推進事業</t>
    <rPh sb="0" eb="2">
      <t>チキュウ</t>
    </rPh>
    <rPh sb="2" eb="5">
      <t>オンダンカ</t>
    </rPh>
    <rPh sb="5" eb="7">
      <t>タイサク</t>
    </rPh>
    <rPh sb="7" eb="9">
      <t>スイシン</t>
    </rPh>
    <rPh sb="9" eb="11">
      <t>ジギョウ</t>
    </rPh>
    <phoneticPr fontId="4"/>
  </si>
  <si>
    <t>斎場運営委託料200,200、斎場管理運営委託料22,400、斎場施設購入費248,300等</t>
    <rPh sb="0" eb="2">
      <t>サイジョウ</t>
    </rPh>
    <rPh sb="2" eb="4">
      <t>ウンエイ</t>
    </rPh>
    <rPh sb="4" eb="6">
      <t>イタク</t>
    </rPh>
    <rPh sb="6" eb="7">
      <t>リョウ</t>
    </rPh>
    <rPh sb="15" eb="17">
      <t>サイジョウ</t>
    </rPh>
    <rPh sb="17" eb="19">
      <t>カンリ</t>
    </rPh>
    <rPh sb="19" eb="21">
      <t>ウンエイ</t>
    </rPh>
    <rPh sb="21" eb="24">
      <t>イタクリョウ</t>
    </rPh>
    <rPh sb="31" eb="33">
      <t>サイジョウ</t>
    </rPh>
    <rPh sb="45" eb="46">
      <t>トウ</t>
    </rPh>
    <phoneticPr fontId="4"/>
  </si>
  <si>
    <t>斎場運営費</t>
    <rPh sb="0" eb="2">
      <t>サイジョウ</t>
    </rPh>
    <rPh sb="2" eb="5">
      <t>ウンエイヒ</t>
    </rPh>
    <phoneticPr fontId="4"/>
  </si>
  <si>
    <t>消耗品費7,400、医薬材料費17,000、検査機器借上料22,900等</t>
    <rPh sb="0" eb="2">
      <t>ショウモウ</t>
    </rPh>
    <rPh sb="2" eb="3">
      <t>ヒン</t>
    </rPh>
    <rPh sb="3" eb="4">
      <t>ヒ</t>
    </rPh>
    <rPh sb="10" eb="12">
      <t>イヤク</t>
    </rPh>
    <rPh sb="12" eb="15">
      <t>ザイリョウヒ</t>
    </rPh>
    <rPh sb="22" eb="24">
      <t>ケンサ</t>
    </rPh>
    <rPh sb="24" eb="26">
      <t>キキ</t>
    </rPh>
    <rPh sb="26" eb="28">
      <t>カリア</t>
    </rPh>
    <rPh sb="28" eb="29">
      <t>リョウ</t>
    </rPh>
    <rPh sb="35" eb="36">
      <t>トウ</t>
    </rPh>
    <phoneticPr fontId="4"/>
  </si>
  <si>
    <t>衛生検査事業</t>
    <rPh sb="0" eb="2">
      <t>エイセイ</t>
    </rPh>
    <rPh sb="2" eb="4">
      <t>ケンサ</t>
    </rPh>
    <rPh sb="4" eb="6">
      <t>ジギョウ</t>
    </rPh>
    <phoneticPr fontId="4"/>
  </si>
  <si>
    <t>消耗品費3,400、印刷製本費2,200、医薬材料費3,800等</t>
    <rPh sb="0" eb="2">
      <t>ショウモウ</t>
    </rPh>
    <rPh sb="2" eb="3">
      <t>ヒン</t>
    </rPh>
    <rPh sb="3" eb="4">
      <t>ヒ</t>
    </rPh>
    <rPh sb="10" eb="12">
      <t>インサツ</t>
    </rPh>
    <rPh sb="12" eb="14">
      <t>セイホン</t>
    </rPh>
    <rPh sb="14" eb="15">
      <t>ヒ</t>
    </rPh>
    <rPh sb="21" eb="23">
      <t>イヤク</t>
    </rPh>
    <rPh sb="23" eb="26">
      <t>ザイリョウヒ</t>
    </rPh>
    <rPh sb="31" eb="32">
      <t>トウ</t>
    </rPh>
    <phoneticPr fontId="4"/>
  </si>
  <si>
    <t>食肉検査事業</t>
    <rPh sb="0" eb="2">
      <t>ショクニク</t>
    </rPh>
    <rPh sb="2" eb="4">
      <t>ケンサ</t>
    </rPh>
    <rPh sb="4" eb="6">
      <t>ジギョウ</t>
    </rPh>
    <phoneticPr fontId="4"/>
  </si>
  <si>
    <t>消耗品費600、食品等試験検査手数料630、啓発動画作成委託料850等</t>
    <rPh sb="0" eb="2">
      <t>ショウモウ</t>
    </rPh>
    <rPh sb="2" eb="3">
      <t>ヒン</t>
    </rPh>
    <rPh sb="3" eb="4">
      <t>ヒ</t>
    </rPh>
    <rPh sb="8" eb="11">
      <t>ショクヒンナド</t>
    </rPh>
    <rPh sb="11" eb="13">
      <t>シケン</t>
    </rPh>
    <rPh sb="13" eb="15">
      <t>ケンサ</t>
    </rPh>
    <rPh sb="15" eb="18">
      <t>テスウリョウ</t>
    </rPh>
    <rPh sb="22" eb="24">
      <t>ケイハツ</t>
    </rPh>
    <rPh sb="24" eb="26">
      <t>ドウガ</t>
    </rPh>
    <rPh sb="26" eb="28">
      <t>サクセイ</t>
    </rPh>
    <rPh sb="28" eb="31">
      <t>イタクリョウ</t>
    </rPh>
    <rPh sb="34" eb="35">
      <t>トウ</t>
    </rPh>
    <phoneticPr fontId="4"/>
  </si>
  <si>
    <t>食品衛生事業</t>
  </si>
  <si>
    <r>
      <t xml:space="preserve">消耗品費1,000、猫の不妊・去勢手術費用補助金2,500等
</t>
    </r>
    <r>
      <rPr>
        <b/>
        <sz val="9"/>
        <color theme="1"/>
        <rFont val="BIZ UDゴシック"/>
        <family val="3"/>
        <charset val="128"/>
      </rPr>
      <t>【今年度の取組】</t>
    </r>
    <r>
      <rPr>
        <sz val="9"/>
        <color theme="1"/>
        <rFont val="BIZ UDゴシック"/>
        <family val="3"/>
        <charset val="128"/>
      </rPr>
      <t xml:space="preserve">
猫の不妊・去勢手術費用補助金について、補助対象経費の拡大と限度額の増額を行う。</t>
    </r>
    <rPh sb="0" eb="4">
      <t>ショウモウヒンヒ</t>
    </rPh>
    <rPh sb="10" eb="11">
      <t>ネコ</t>
    </rPh>
    <rPh sb="11" eb="12">
      <t>イヌネコ</t>
    </rPh>
    <rPh sb="12" eb="14">
      <t>フニン</t>
    </rPh>
    <rPh sb="15" eb="17">
      <t>キョセイ</t>
    </rPh>
    <rPh sb="17" eb="19">
      <t>シュジュツ</t>
    </rPh>
    <rPh sb="19" eb="21">
      <t>ヒヨウ</t>
    </rPh>
    <rPh sb="21" eb="23">
      <t>ホジョ</t>
    </rPh>
    <rPh sb="23" eb="24">
      <t>キン</t>
    </rPh>
    <rPh sb="29" eb="30">
      <t>トウ</t>
    </rPh>
    <rPh sb="59" eb="65">
      <t>ホジョタイショウケイヒ</t>
    </rPh>
    <rPh sb="66" eb="68">
      <t>カクダイ</t>
    </rPh>
    <rPh sb="69" eb="72">
      <t>ゲンドガク</t>
    </rPh>
    <rPh sb="73" eb="75">
      <t>ゾウガク</t>
    </rPh>
    <rPh sb="76" eb="77">
      <t>オコナ</t>
    </rPh>
    <phoneticPr fontId="4"/>
  </si>
  <si>
    <t>動物管理指導事業</t>
    <rPh sb="0" eb="2">
      <t>ドウブツ</t>
    </rPh>
    <rPh sb="2" eb="4">
      <t>カンリ</t>
    </rPh>
    <rPh sb="4" eb="6">
      <t>シドウ</t>
    </rPh>
    <rPh sb="6" eb="8">
      <t>ジギョウ</t>
    </rPh>
    <phoneticPr fontId="4"/>
  </si>
  <si>
    <t>スズメバチの巣駆除委託料2,500、薬剤散布委託料5,000等</t>
    <rPh sb="6" eb="7">
      <t>ス</t>
    </rPh>
    <rPh sb="7" eb="9">
      <t>クジョ</t>
    </rPh>
    <rPh sb="9" eb="12">
      <t>イタクリョウ</t>
    </rPh>
    <rPh sb="18" eb="20">
      <t>ヤクザイ</t>
    </rPh>
    <rPh sb="20" eb="22">
      <t>サンプ</t>
    </rPh>
    <rPh sb="22" eb="25">
      <t>イタクリョウ</t>
    </rPh>
    <rPh sb="30" eb="31">
      <t>トウ</t>
    </rPh>
    <phoneticPr fontId="4"/>
  </si>
  <si>
    <t>生活衛生事業</t>
    <rPh sb="0" eb="2">
      <t>セイカツ</t>
    </rPh>
    <rPh sb="2" eb="4">
      <t>エイセイ</t>
    </rPh>
    <rPh sb="4" eb="6">
      <t>ジギョウ</t>
    </rPh>
    <phoneticPr fontId="4"/>
  </si>
  <si>
    <t>講師等謝礼720、自殺予防対策事業委託料290等</t>
    <rPh sb="0" eb="3">
      <t>コウシトウ</t>
    </rPh>
    <rPh sb="3" eb="5">
      <t>シャレイ</t>
    </rPh>
    <rPh sb="11" eb="13">
      <t>ヨボウ</t>
    </rPh>
    <rPh sb="13" eb="17">
      <t>タイサクジギョウ</t>
    </rPh>
    <rPh sb="17" eb="20">
      <t>イタクリョウ</t>
    </rPh>
    <rPh sb="23" eb="24">
      <t>トウ</t>
    </rPh>
    <phoneticPr fontId="4"/>
  </si>
  <si>
    <t>精神保健支援事業</t>
    <rPh sb="0" eb="2">
      <t>セイシン</t>
    </rPh>
    <rPh sb="2" eb="4">
      <t>ホケン</t>
    </rPh>
    <rPh sb="4" eb="6">
      <t>シエン</t>
    </rPh>
    <rPh sb="6" eb="8">
      <t>ジギョウ</t>
    </rPh>
    <phoneticPr fontId="4"/>
  </si>
  <si>
    <t>手数料5,000、保健所システム電算委託料7,000、感染症公費負担医療給付費18,000等</t>
    <rPh sb="0" eb="3">
      <t>テスウリョウ</t>
    </rPh>
    <rPh sb="9" eb="12">
      <t>ホケンジョ</t>
    </rPh>
    <rPh sb="16" eb="18">
      <t>デンサン</t>
    </rPh>
    <rPh sb="18" eb="21">
      <t>イタクリョウ</t>
    </rPh>
    <rPh sb="27" eb="30">
      <t>カンセンショウ</t>
    </rPh>
    <rPh sb="30" eb="32">
      <t>コウヒ</t>
    </rPh>
    <rPh sb="32" eb="34">
      <t>フタン</t>
    </rPh>
    <rPh sb="34" eb="36">
      <t>イリョウ</t>
    </rPh>
    <rPh sb="36" eb="38">
      <t>キュウフ</t>
    </rPh>
    <rPh sb="38" eb="39">
      <t>ヒ</t>
    </rPh>
    <rPh sb="45" eb="46">
      <t>トウ</t>
    </rPh>
    <phoneticPr fontId="4"/>
  </si>
  <si>
    <t>診療管理者報酬2,000、診療業務委託料117,000、レセプト機器借上料1,120等</t>
    <rPh sb="0" eb="2">
      <t>シンリョウ</t>
    </rPh>
    <rPh sb="2" eb="5">
      <t>カンリシャ</t>
    </rPh>
    <rPh sb="5" eb="7">
      <t>ホウシュウ</t>
    </rPh>
    <rPh sb="13" eb="15">
      <t>シンリョウ</t>
    </rPh>
    <rPh sb="15" eb="17">
      <t>ギョウム</t>
    </rPh>
    <rPh sb="17" eb="20">
      <t>イタクリョウ</t>
    </rPh>
    <rPh sb="32" eb="34">
      <t>キキ</t>
    </rPh>
    <rPh sb="34" eb="35">
      <t>シャク</t>
    </rPh>
    <rPh sb="35" eb="36">
      <t>ジョウ</t>
    </rPh>
    <rPh sb="36" eb="37">
      <t>リョウ</t>
    </rPh>
    <rPh sb="42" eb="43">
      <t>ナド</t>
    </rPh>
    <phoneticPr fontId="4"/>
  </si>
  <si>
    <t>急患診療所診療業務費</t>
    <rPh sb="0" eb="2">
      <t>キュウカン</t>
    </rPh>
    <rPh sb="2" eb="5">
      <t>シンリョウジョ</t>
    </rPh>
    <rPh sb="5" eb="7">
      <t>シンリョウ</t>
    </rPh>
    <rPh sb="7" eb="9">
      <t>ギョウム</t>
    </rPh>
    <rPh sb="9" eb="10">
      <t>ヒ</t>
    </rPh>
    <phoneticPr fontId="4"/>
  </si>
  <si>
    <r>
      <t xml:space="preserve">予防接種委託料820,000、高齢者予防接種委託料300,000、風しん抗体検査委託料5,000等
</t>
    </r>
    <r>
      <rPr>
        <b/>
        <sz val="9"/>
        <color theme="1"/>
        <rFont val="BIZ UDゴシック"/>
        <family val="3"/>
        <charset val="128"/>
      </rPr>
      <t>【今年度の取組】</t>
    </r>
    <r>
      <rPr>
        <sz val="9"/>
        <color theme="1"/>
        <rFont val="BIZ UDゴシック"/>
        <family val="3"/>
        <charset val="128"/>
      </rPr>
      <t xml:space="preserve">
新型コロナワクチンの定期接種化に伴い、65歳以上の方を対象に年1回の接種を行う。</t>
    </r>
    <rPh sb="33" eb="34">
      <t>フウ</t>
    </rPh>
    <rPh sb="36" eb="38">
      <t>コウタイ</t>
    </rPh>
    <rPh sb="38" eb="40">
      <t>ケンサ</t>
    </rPh>
    <rPh sb="40" eb="43">
      <t>イタクリョウ</t>
    </rPh>
    <rPh sb="48" eb="49">
      <t>トウ</t>
    </rPh>
    <rPh sb="59" eb="61">
      <t>シンガタ</t>
    </rPh>
    <phoneticPr fontId="4"/>
  </si>
  <si>
    <t>予防接種事業</t>
  </si>
  <si>
    <t>歯周病検診委託料10,000、口腔がん検診委託料20,000等</t>
    <rPh sb="0" eb="2">
      <t>シシュウ</t>
    </rPh>
    <rPh sb="2" eb="3">
      <t>ビョウ</t>
    </rPh>
    <rPh sb="3" eb="5">
      <t>ケンシン</t>
    </rPh>
    <rPh sb="5" eb="8">
      <t>イタクリョウ</t>
    </rPh>
    <rPh sb="15" eb="17">
      <t>コウクウ</t>
    </rPh>
    <rPh sb="19" eb="21">
      <t>ケンシン</t>
    </rPh>
    <rPh sb="21" eb="24">
      <t>イタクリョウ</t>
    </rPh>
    <rPh sb="30" eb="31">
      <t>ナド</t>
    </rPh>
    <phoneticPr fontId="4"/>
  </si>
  <si>
    <t>歯科健康診査等事業</t>
    <rPh sb="0" eb="2">
      <t>シカ</t>
    </rPh>
    <rPh sb="2" eb="4">
      <t>ケンコウ</t>
    </rPh>
    <rPh sb="4" eb="6">
      <t>シンサ</t>
    </rPh>
    <rPh sb="6" eb="7">
      <t>トウ</t>
    </rPh>
    <rPh sb="7" eb="9">
      <t>ジギョウ</t>
    </rPh>
    <phoneticPr fontId="4"/>
  </si>
  <si>
    <r>
      <t xml:space="preserve">各種がん検診委託料457,020、乳がん検診読影システム機器借上料1,800等
</t>
    </r>
    <r>
      <rPr>
        <b/>
        <sz val="9"/>
        <color theme="1"/>
        <rFont val="BIZ UDゴシック"/>
        <family val="3"/>
        <charset val="128"/>
      </rPr>
      <t>【今年度の取組】</t>
    </r>
    <r>
      <rPr>
        <sz val="9"/>
        <color theme="1"/>
        <rFont val="BIZ UDゴシック"/>
        <family val="3"/>
        <charset val="128"/>
      </rPr>
      <t xml:space="preserve">
乳がん検診について、マンモグラフィ単独の検査枠を設ける。</t>
    </r>
    <rPh sb="0" eb="2">
      <t>カクシュ</t>
    </rPh>
    <rPh sb="4" eb="6">
      <t>ケンシン</t>
    </rPh>
    <rPh sb="6" eb="9">
      <t>イタクリョウ</t>
    </rPh>
    <rPh sb="38" eb="39">
      <t>トウ</t>
    </rPh>
    <rPh sb="49" eb="50">
      <t>ニュウ</t>
    </rPh>
    <rPh sb="52" eb="54">
      <t>ケンシン</t>
    </rPh>
    <rPh sb="66" eb="68">
      <t>タンドク</t>
    </rPh>
    <rPh sb="69" eb="71">
      <t>ケンサ</t>
    </rPh>
    <rPh sb="71" eb="72">
      <t>ワク</t>
    </rPh>
    <rPh sb="73" eb="74">
      <t>モウ</t>
    </rPh>
    <phoneticPr fontId="4"/>
  </si>
  <si>
    <t>がん検診等事業</t>
  </si>
  <si>
    <t>骨粗しょう症検診委託料6,000、肝炎ウイルス検診委託料7,000等</t>
    <rPh sb="0" eb="6">
      <t>コツソショウショウ</t>
    </rPh>
    <rPh sb="6" eb="11">
      <t>ケンシンイタクリョウ</t>
    </rPh>
    <rPh sb="17" eb="19">
      <t>カンエン</t>
    </rPh>
    <rPh sb="23" eb="25">
      <t>ケンシン</t>
    </rPh>
    <rPh sb="25" eb="28">
      <t>イタクリョウ</t>
    </rPh>
    <rPh sb="33" eb="34">
      <t>トウ</t>
    </rPh>
    <phoneticPr fontId="4"/>
  </si>
  <si>
    <t>健康診査等事業</t>
    <rPh sb="0" eb="5">
      <t>ケンコウシンサトウ</t>
    </rPh>
    <rPh sb="5" eb="7">
      <t>ジギョウ</t>
    </rPh>
    <phoneticPr fontId="4"/>
  </si>
  <si>
    <t>不妊検査助成金3,400、小児慢性特定疾病医療給付費80,000、未熟児養育医療給付費25,000等</t>
    <rPh sb="0" eb="2">
      <t>フニン</t>
    </rPh>
    <rPh sb="2" eb="4">
      <t>ケンサ</t>
    </rPh>
    <rPh sb="4" eb="7">
      <t>ジョセイキン</t>
    </rPh>
    <rPh sb="33" eb="36">
      <t>ミジュクジ</t>
    </rPh>
    <rPh sb="36" eb="38">
      <t>ヨウイク</t>
    </rPh>
    <rPh sb="38" eb="40">
      <t>イリョウ</t>
    </rPh>
    <rPh sb="40" eb="42">
      <t>キュウフ</t>
    </rPh>
    <rPh sb="42" eb="43">
      <t>ヒ</t>
    </rPh>
    <rPh sb="49" eb="50">
      <t>トウ</t>
    </rPh>
    <phoneticPr fontId="4"/>
  </si>
  <si>
    <t>医療等支援事業</t>
    <rPh sb="0" eb="3">
      <t>イリョウナド</t>
    </rPh>
    <rPh sb="3" eb="5">
      <t>シエン</t>
    </rPh>
    <rPh sb="5" eb="7">
      <t>ジギョウ</t>
    </rPh>
    <phoneticPr fontId="4"/>
  </si>
  <si>
    <t>妊産婦・新生児訪問委託料10,000、産後ケア事業委託料5,200、子育て支援アプリ運用・保守管理委託料660等</t>
    <rPh sb="19" eb="21">
      <t>サンゴ</t>
    </rPh>
    <rPh sb="23" eb="25">
      <t>ジギョウ</t>
    </rPh>
    <rPh sb="25" eb="27">
      <t>イタク</t>
    </rPh>
    <rPh sb="27" eb="28">
      <t>リョウ</t>
    </rPh>
    <rPh sb="51" eb="52">
      <t>リョウ</t>
    </rPh>
    <rPh sb="55" eb="56">
      <t>トウ</t>
    </rPh>
    <phoneticPr fontId="4"/>
  </si>
  <si>
    <t>母子健康づくり事業</t>
  </si>
  <si>
    <r>
      <t>健康診査委託料37,000、妊婦健康診査等委託料230,000、産婦健康診査委託料10,000等</t>
    </r>
    <r>
      <rPr>
        <b/>
        <sz val="9"/>
        <color theme="1"/>
        <rFont val="BIZ UDゴシック"/>
        <family val="3"/>
        <charset val="128"/>
      </rPr>
      <t xml:space="preserve">
【今年度の取組】</t>
    </r>
    <r>
      <rPr>
        <sz val="9"/>
        <color theme="1"/>
        <rFont val="BIZ UDゴシック"/>
        <family val="3"/>
        <charset val="128"/>
      </rPr>
      <t xml:space="preserve">
新たに1か月児健康診査を実施する。</t>
    </r>
    <rPh sb="0" eb="2">
      <t>ケンコウ</t>
    </rPh>
    <rPh sb="2" eb="4">
      <t>シンサ</t>
    </rPh>
    <rPh sb="4" eb="6">
      <t>イタク</t>
    </rPh>
    <rPh sb="6" eb="7">
      <t>リョウ</t>
    </rPh>
    <rPh sb="14" eb="16">
      <t>ニンプ</t>
    </rPh>
    <rPh sb="16" eb="18">
      <t>ケンコウ</t>
    </rPh>
    <rPh sb="18" eb="20">
      <t>シンサ</t>
    </rPh>
    <rPh sb="20" eb="21">
      <t>トウ</t>
    </rPh>
    <rPh sb="21" eb="23">
      <t>イタク</t>
    </rPh>
    <rPh sb="23" eb="24">
      <t>リョウ</t>
    </rPh>
    <rPh sb="32" eb="38">
      <t>サンプケンコウシンサ</t>
    </rPh>
    <rPh sb="38" eb="41">
      <t>イタクリョウ</t>
    </rPh>
    <rPh sb="47" eb="48">
      <t>ナド</t>
    </rPh>
    <rPh sb="63" eb="64">
      <t>ゲツ</t>
    </rPh>
    <rPh sb="64" eb="65">
      <t>ジ</t>
    </rPh>
    <rPh sb="65" eb="67">
      <t>ケンコウ</t>
    </rPh>
    <rPh sb="67" eb="69">
      <t>シンサ</t>
    </rPh>
    <rPh sb="70" eb="72">
      <t>ジッシ</t>
    </rPh>
    <phoneticPr fontId="4"/>
  </si>
  <si>
    <t>乳幼児等健診事業</t>
    <rPh sb="0" eb="3">
      <t>ニュウヨウジ</t>
    </rPh>
    <rPh sb="3" eb="4">
      <t>トウ</t>
    </rPh>
    <rPh sb="4" eb="6">
      <t>ケンシン</t>
    </rPh>
    <rPh sb="6" eb="8">
      <t>ジギョウ</t>
    </rPh>
    <phoneticPr fontId="4"/>
  </si>
  <si>
    <r>
      <t xml:space="preserve">消耗品3,900、印刷製本費4,500、コバトンＡＬＫＯＯマイレージアプリ委託料2,100等
</t>
    </r>
    <r>
      <rPr>
        <b/>
        <sz val="9"/>
        <color theme="1"/>
        <rFont val="BIZ UDゴシック"/>
        <family val="3"/>
        <charset val="128"/>
      </rPr>
      <t>【今年度の取組】</t>
    </r>
    <r>
      <rPr>
        <sz val="9"/>
        <color theme="1"/>
        <rFont val="BIZ UDゴシック"/>
        <family val="3"/>
        <charset val="128"/>
      </rPr>
      <t xml:space="preserve">
県の新たな歩行管理アプリ導入に伴い、市の所属ポイントを付与する機能を追加する。</t>
    </r>
    <rPh sb="0" eb="3">
      <t>ショウモウヒン</t>
    </rPh>
    <rPh sb="9" eb="14">
      <t>インサツセイホンヒ</t>
    </rPh>
    <rPh sb="37" eb="40">
      <t>イタクリョウ</t>
    </rPh>
    <rPh sb="45" eb="46">
      <t>ナド</t>
    </rPh>
    <rPh sb="56" eb="57">
      <t>ケン</t>
    </rPh>
    <rPh sb="58" eb="59">
      <t>アラ</t>
    </rPh>
    <rPh sb="61" eb="65">
      <t>ホコウカンリ</t>
    </rPh>
    <rPh sb="68" eb="70">
      <t>ドウニュウ</t>
    </rPh>
    <rPh sb="71" eb="72">
      <t>トモナ</t>
    </rPh>
    <rPh sb="74" eb="75">
      <t>シ</t>
    </rPh>
    <rPh sb="76" eb="78">
      <t>ショゾク</t>
    </rPh>
    <rPh sb="83" eb="85">
      <t>フヨ</t>
    </rPh>
    <rPh sb="87" eb="89">
      <t>キノウ</t>
    </rPh>
    <rPh sb="90" eb="92">
      <t>ツイカ</t>
    </rPh>
    <phoneticPr fontId="4"/>
  </si>
  <si>
    <t>健康づくり推進事業</t>
    <rPh sb="0" eb="2">
      <t>ケンコウ</t>
    </rPh>
    <rPh sb="5" eb="7">
      <t>スイシン</t>
    </rPh>
    <rPh sb="7" eb="9">
      <t>ジギョウ</t>
    </rPh>
    <phoneticPr fontId="4"/>
  </si>
  <si>
    <t>病院群輪番制病院運営事業補助金31,100、小児救急医療支援事業補助金25,300等</t>
    <rPh sb="0" eb="3">
      <t>ビョウイングン</t>
    </rPh>
    <rPh sb="3" eb="6">
      <t>リンバンセイ</t>
    </rPh>
    <rPh sb="6" eb="8">
      <t>ビョウイン</t>
    </rPh>
    <rPh sb="8" eb="15">
      <t>ウンエイジギョウホジョキン</t>
    </rPh>
    <rPh sb="22" eb="24">
      <t>ショウニ</t>
    </rPh>
    <rPh sb="24" eb="28">
      <t>キュウキュウイリョウ</t>
    </rPh>
    <rPh sb="28" eb="35">
      <t>シエンジギョウホジョキン</t>
    </rPh>
    <rPh sb="41" eb="42">
      <t>トウ</t>
    </rPh>
    <phoneticPr fontId="4"/>
  </si>
  <si>
    <t>救急医療対策事業</t>
    <rPh sb="0" eb="2">
      <t>キュウキュウ</t>
    </rPh>
    <rPh sb="2" eb="4">
      <t>イリョウ</t>
    </rPh>
    <rPh sb="4" eb="6">
      <t>タイサク</t>
    </rPh>
    <rPh sb="6" eb="8">
      <t>ジギョウ</t>
    </rPh>
    <phoneticPr fontId="4"/>
  </si>
  <si>
    <t>在宅療養支援ベッド確保事業補助金1,800、看護師等修学資金貸付金47,000等</t>
    <rPh sb="0" eb="4">
      <t>ザイタクリョウヨウ</t>
    </rPh>
    <rPh sb="4" eb="6">
      <t>シエン</t>
    </rPh>
    <rPh sb="9" eb="13">
      <t>カクホジギョウ</t>
    </rPh>
    <rPh sb="13" eb="16">
      <t>ホジョキン</t>
    </rPh>
    <rPh sb="22" eb="26">
      <t>カンゴシトウ</t>
    </rPh>
    <rPh sb="26" eb="28">
      <t>シュウガク</t>
    </rPh>
    <rPh sb="28" eb="30">
      <t>シキン</t>
    </rPh>
    <rPh sb="30" eb="31">
      <t>カ</t>
    </rPh>
    <rPh sb="31" eb="32">
      <t>ツ</t>
    </rPh>
    <rPh sb="32" eb="33">
      <t>キン</t>
    </rPh>
    <rPh sb="39" eb="40">
      <t>トウ</t>
    </rPh>
    <phoneticPr fontId="4"/>
  </si>
  <si>
    <t>地域医療推進事業</t>
    <rPh sb="0" eb="2">
      <t>チイキ</t>
    </rPh>
    <rPh sb="2" eb="4">
      <t>イリョウ</t>
    </rPh>
    <rPh sb="4" eb="6">
      <t>スイシン</t>
    </rPh>
    <rPh sb="6" eb="8">
      <t>ジギョウ</t>
    </rPh>
    <phoneticPr fontId="4"/>
  </si>
  <si>
    <t>衛生費</t>
    <rPh sb="0" eb="2">
      <t>エイセイ</t>
    </rPh>
    <rPh sb="2" eb="3">
      <t>ヒ</t>
    </rPh>
    <phoneticPr fontId="4"/>
  </si>
  <si>
    <t>生活扶助費2,400,000、医療扶助費3,200,000等</t>
    <rPh sb="0" eb="5">
      <t>セイカツフジョヒ</t>
    </rPh>
    <rPh sb="15" eb="17">
      <t>イリョウ</t>
    </rPh>
    <rPh sb="17" eb="20">
      <t>フジョヒ</t>
    </rPh>
    <rPh sb="29" eb="30">
      <t>トウ</t>
    </rPh>
    <phoneticPr fontId="4"/>
  </si>
  <si>
    <t>生活保護扶助費</t>
  </si>
  <si>
    <t>就労支援事業委託料11,000、年金等申請支援事業委託料14,800等</t>
    <rPh sb="16" eb="18">
      <t>ネンキン</t>
    </rPh>
    <rPh sb="18" eb="19">
      <t>トウ</t>
    </rPh>
    <rPh sb="19" eb="21">
      <t>シンセイ</t>
    </rPh>
    <rPh sb="21" eb="23">
      <t>シエン</t>
    </rPh>
    <rPh sb="23" eb="25">
      <t>ジギョウ</t>
    </rPh>
    <rPh sb="25" eb="28">
      <t>イタクリョウ</t>
    </rPh>
    <rPh sb="34" eb="35">
      <t>トウ</t>
    </rPh>
    <phoneticPr fontId="4"/>
  </si>
  <si>
    <t>生活保護事務費</t>
    <phoneticPr fontId="4"/>
  </si>
  <si>
    <r>
      <t xml:space="preserve">学童保育室建設工事費239,000、水道加入者分担金1,010
</t>
    </r>
    <r>
      <rPr>
        <b/>
        <sz val="9"/>
        <rFont val="BIZ UDゴシック"/>
        <family val="3"/>
        <charset val="128"/>
      </rPr>
      <t>【今年度の取組】</t>
    </r>
    <r>
      <rPr>
        <sz val="9"/>
        <rFont val="BIZ UDゴシック"/>
        <family val="3"/>
        <charset val="128"/>
      </rPr>
      <t xml:space="preserve">
待機児童解消のため、大袋及び荻島学童保育室を建設する。</t>
    </r>
    <rPh sb="0" eb="2">
      <t>ガクドウ</t>
    </rPh>
    <rPh sb="2" eb="4">
      <t>ホイク</t>
    </rPh>
    <rPh sb="4" eb="5">
      <t>シツ</t>
    </rPh>
    <rPh sb="5" eb="7">
      <t>ケンセツ</t>
    </rPh>
    <rPh sb="7" eb="9">
      <t>コウジ</t>
    </rPh>
    <rPh sb="9" eb="10">
      <t>ヒ</t>
    </rPh>
    <rPh sb="18" eb="23">
      <t>スイドウカニュウシャ</t>
    </rPh>
    <rPh sb="23" eb="26">
      <t>ブンタンキン</t>
    </rPh>
    <rPh sb="41" eb="47">
      <t>タイキジドウカイショウ</t>
    </rPh>
    <phoneticPr fontId="4"/>
  </si>
  <si>
    <t>学童保育室建設事業</t>
    <rPh sb="0" eb="2">
      <t>ガクドウ</t>
    </rPh>
    <rPh sb="2" eb="5">
      <t>ホイクシツ</t>
    </rPh>
    <rPh sb="5" eb="7">
      <t>ケンセツ</t>
    </rPh>
    <rPh sb="7" eb="9">
      <t>ジギョウ</t>
    </rPh>
    <phoneticPr fontId="4"/>
  </si>
  <si>
    <r>
      <t>施設改修工事費</t>
    </r>
    <r>
      <rPr>
        <b/>
        <sz val="9"/>
        <rFont val="BIZ UDゴシック"/>
        <family val="3"/>
        <charset val="128"/>
      </rPr>
      <t xml:space="preserve">
【今年度の取組】</t>
    </r>
    <r>
      <rPr>
        <sz val="9"/>
        <rFont val="BIZ UDゴシック"/>
        <family val="3"/>
        <charset val="128"/>
      </rPr>
      <t xml:space="preserve">
待機児童解消のため、平方、弥栄、東越谷、大沢北学童保育室について、各小学校内の転用可能教室に移設し、定員を拡大するために必要な改修を行う。</t>
    </r>
    <rPh sb="8" eb="12">
      <t>(コンネンド</t>
    </rPh>
    <rPh sb="13" eb="15">
      <t>トリクミ</t>
    </rPh>
    <rPh sb="70" eb="72">
      <t>カクダイ</t>
    </rPh>
    <rPh sb="77" eb="79">
      <t>ヒツヨウ</t>
    </rPh>
    <rPh sb="80" eb="82">
      <t>カイシュウ</t>
    </rPh>
    <rPh sb="83" eb="84">
      <t>オコナ</t>
    </rPh>
    <phoneticPr fontId="4"/>
  </si>
  <si>
    <t>学童保育室改修費</t>
    <rPh sb="0" eb="5">
      <t>ガクドウホイクシツ</t>
    </rPh>
    <rPh sb="5" eb="8">
      <t>カイシュウヒ</t>
    </rPh>
    <phoneticPr fontId="4"/>
  </si>
  <si>
    <t>光熱水費3,300、修繕料2,500等</t>
    <rPh sb="0" eb="4">
      <t>コウネツスイヒ</t>
    </rPh>
    <rPh sb="10" eb="12">
      <t>シュウゼン</t>
    </rPh>
    <rPh sb="12" eb="13">
      <t>リョウ</t>
    </rPh>
    <rPh sb="18" eb="19">
      <t>トウ</t>
    </rPh>
    <phoneticPr fontId="4"/>
  </si>
  <si>
    <t>学童保育室施設管理費</t>
    <rPh sb="0" eb="2">
      <t>ガクドウ</t>
    </rPh>
    <rPh sb="2" eb="5">
      <t>ホイクシツ</t>
    </rPh>
    <rPh sb="5" eb="10">
      <t>シセツカンリヒ</t>
    </rPh>
    <phoneticPr fontId="4"/>
  </si>
  <si>
    <r>
      <t xml:space="preserve">民間学童保育室事業費補助金
</t>
    </r>
    <r>
      <rPr>
        <b/>
        <sz val="9"/>
        <rFont val="BIZ UDゴシック"/>
        <family val="3"/>
        <charset val="128"/>
      </rPr>
      <t>【今年度の取組】</t>
    </r>
    <r>
      <rPr>
        <sz val="9"/>
        <rFont val="BIZ UDゴシック"/>
        <family val="3"/>
        <charset val="128"/>
      </rPr>
      <t xml:space="preserve">
新たな民間事業者の参入に対する支援等を行い、保護者の就労支援と放課後児童の健全育成を推進する。</t>
    </r>
    <phoneticPr fontId="4"/>
  </si>
  <si>
    <t>民間学童保育室事業</t>
    <rPh sb="0" eb="7">
      <t>ミンカンガクドウホイクシツ</t>
    </rPh>
    <rPh sb="7" eb="9">
      <t>ジギョウ</t>
    </rPh>
    <phoneticPr fontId="4"/>
  </si>
  <si>
    <r>
      <t xml:space="preserve">プレーパーク運営業務委託料10,000、自動車購入費7,000等
</t>
    </r>
    <r>
      <rPr>
        <b/>
        <sz val="9"/>
        <rFont val="BIZ UDゴシック"/>
        <family val="3"/>
        <charset val="128"/>
      </rPr>
      <t>【今年度の取組】</t>
    </r>
    <r>
      <rPr>
        <sz val="9"/>
        <rFont val="BIZ UDゴシック"/>
        <family val="3"/>
        <charset val="128"/>
      </rPr>
      <t xml:space="preserve">
移動型拠点施設とするための車両を活用し、プレーパークの開催を月2回から週3日へと拡充する。</t>
    </r>
    <rPh sb="6" eb="13">
      <t>ウンエイギョウムイタクリョウ</t>
    </rPh>
    <rPh sb="20" eb="23">
      <t>ジドウシャ</t>
    </rPh>
    <rPh sb="23" eb="26">
      <t>コウニュウヒ</t>
    </rPh>
    <rPh sb="31" eb="32">
      <t>トウ</t>
    </rPh>
    <rPh sb="58" eb="60">
      <t>カツヨウ</t>
    </rPh>
    <rPh sb="69" eb="71">
      <t>カイサイ</t>
    </rPh>
    <rPh sb="72" eb="73">
      <t>ツキ</t>
    </rPh>
    <rPh sb="74" eb="75">
      <t>カイ</t>
    </rPh>
    <rPh sb="77" eb="78">
      <t>シュウ</t>
    </rPh>
    <rPh sb="79" eb="80">
      <t>ニチ</t>
    </rPh>
    <rPh sb="82" eb="84">
      <t>カクジュウ</t>
    </rPh>
    <phoneticPr fontId="4"/>
  </si>
  <si>
    <t>プレーパーク運営費</t>
    <rPh sb="6" eb="8">
      <t>ウンエイ</t>
    </rPh>
    <rPh sb="8" eb="9">
      <t>ヒ</t>
    </rPh>
    <phoneticPr fontId="4"/>
  </si>
  <si>
    <t>青少年指導員謝礼900、青少年健全育成事業委託料5,500等</t>
    <rPh sb="0" eb="3">
      <t>セイショウネン</t>
    </rPh>
    <rPh sb="3" eb="6">
      <t>シドウイン</t>
    </rPh>
    <rPh sb="6" eb="8">
      <t>シャレイ</t>
    </rPh>
    <rPh sb="12" eb="15">
      <t>セイショウネン</t>
    </rPh>
    <rPh sb="15" eb="19">
      <t>ケンゼンイクセイ</t>
    </rPh>
    <rPh sb="19" eb="21">
      <t>ジギョウ</t>
    </rPh>
    <rPh sb="21" eb="24">
      <t>イタクリョウ</t>
    </rPh>
    <rPh sb="29" eb="30">
      <t>ナド</t>
    </rPh>
    <phoneticPr fontId="4"/>
  </si>
  <si>
    <t>青少年健全育成推進事業</t>
    <rPh sb="0" eb="3">
      <t>セイショウネン</t>
    </rPh>
    <rPh sb="3" eb="7">
      <t>ケンゼンイクセイ</t>
    </rPh>
    <rPh sb="7" eb="9">
      <t>スイシン</t>
    </rPh>
    <rPh sb="9" eb="11">
      <t>ジギョウ</t>
    </rPh>
    <phoneticPr fontId="4"/>
  </si>
  <si>
    <r>
      <t xml:space="preserve">監理委託料13,000、（仮称）緑の森公園保育所建設工事費740,000、外構工事費150,000等
</t>
    </r>
    <r>
      <rPr>
        <b/>
        <sz val="9"/>
        <rFont val="BIZ UDゴシック"/>
        <family val="3"/>
        <charset val="128"/>
      </rPr>
      <t>【今年度の取組】</t>
    </r>
    <r>
      <rPr>
        <sz val="9"/>
        <rFont val="BIZ UDゴシック"/>
        <family val="3"/>
        <charset val="128"/>
      </rPr>
      <t xml:space="preserve">
令和7年度の開所に向けて、建設工事などを行う。</t>
    </r>
    <rPh sb="0" eb="2">
      <t>カンリ</t>
    </rPh>
    <rPh sb="2" eb="5">
      <t>イタクリョウ</t>
    </rPh>
    <rPh sb="37" eb="42">
      <t>ガイコウコウジヒ</t>
    </rPh>
    <rPh sb="49" eb="50">
      <t>トウ</t>
    </rPh>
    <rPh sb="66" eb="68">
      <t>カイショ</t>
    </rPh>
    <rPh sb="69" eb="70">
      <t>ム</t>
    </rPh>
    <rPh sb="73" eb="75">
      <t>ケンセツ</t>
    </rPh>
    <rPh sb="75" eb="77">
      <t>コウジ</t>
    </rPh>
    <rPh sb="80" eb="81">
      <t>オコナ</t>
    </rPh>
    <phoneticPr fontId="4"/>
  </si>
  <si>
    <t>（仮称）緑の森公園保育所整備事業</t>
    <rPh sb="1" eb="3">
      <t>カショウ</t>
    </rPh>
    <rPh sb="4" eb="5">
      <t>ミドリ</t>
    </rPh>
    <rPh sb="6" eb="7">
      <t>モリ</t>
    </rPh>
    <rPh sb="7" eb="9">
      <t>コウエン</t>
    </rPh>
    <rPh sb="9" eb="12">
      <t>ホイクショ</t>
    </rPh>
    <rPh sb="12" eb="16">
      <t>セイビジギョウ</t>
    </rPh>
    <phoneticPr fontId="4"/>
  </si>
  <si>
    <t>光熱水費68,000、保育支援システム委託料3,400等</t>
    <rPh sb="0" eb="4">
      <t>コウネツスイヒ</t>
    </rPh>
    <rPh sb="11" eb="15">
      <t>ホイクシエン</t>
    </rPh>
    <rPh sb="19" eb="22">
      <t>イタクリョウ</t>
    </rPh>
    <rPh sb="27" eb="28">
      <t>トウ</t>
    </rPh>
    <phoneticPr fontId="4"/>
  </si>
  <si>
    <t>保育所管理費</t>
    <rPh sb="0" eb="3">
      <t>ホイクショ</t>
    </rPh>
    <rPh sb="3" eb="6">
      <t>カンリヒ</t>
    </rPh>
    <phoneticPr fontId="4"/>
  </si>
  <si>
    <t>会計年度任用職員報酬15,200、心理判定員謝礼3,200、給食材料費4,000等</t>
    <rPh sb="0" eb="2">
      <t>カイケイ</t>
    </rPh>
    <rPh sb="2" eb="4">
      <t>ネンド</t>
    </rPh>
    <rPh sb="4" eb="6">
      <t>ニンヨウ</t>
    </rPh>
    <rPh sb="6" eb="8">
      <t>ショクイン</t>
    </rPh>
    <rPh sb="8" eb="10">
      <t>ホウシュウ</t>
    </rPh>
    <rPh sb="17" eb="19">
      <t>シンリ</t>
    </rPh>
    <rPh sb="19" eb="21">
      <t>ハンテイ</t>
    </rPh>
    <rPh sb="21" eb="22">
      <t>イン</t>
    </rPh>
    <rPh sb="22" eb="24">
      <t>シャレイ</t>
    </rPh>
    <rPh sb="30" eb="32">
      <t>キュウショク</t>
    </rPh>
    <rPh sb="32" eb="35">
      <t>ザイリョウヒ</t>
    </rPh>
    <rPh sb="40" eb="41">
      <t>ナド</t>
    </rPh>
    <phoneticPr fontId="4"/>
  </si>
  <si>
    <t>児童発達支援センター運営費</t>
    <rPh sb="0" eb="2">
      <t>ジドウ</t>
    </rPh>
    <rPh sb="2" eb="4">
      <t>ハッタツ</t>
    </rPh>
    <rPh sb="4" eb="6">
      <t>シエン</t>
    </rPh>
    <rPh sb="10" eb="13">
      <t>ウンエイヒ</t>
    </rPh>
    <phoneticPr fontId="4"/>
  </si>
  <si>
    <t>児童扶養手当給付費</t>
    <rPh sb="0" eb="2">
      <t>ジドウ</t>
    </rPh>
    <rPh sb="2" eb="4">
      <t>フヨウ</t>
    </rPh>
    <rPh sb="4" eb="6">
      <t>テアテ</t>
    </rPh>
    <rPh sb="6" eb="8">
      <t>キュウフ</t>
    </rPh>
    <rPh sb="8" eb="9">
      <t>ヒ</t>
    </rPh>
    <phoneticPr fontId="4"/>
  </si>
  <si>
    <t>児童扶養手当給付費</t>
  </si>
  <si>
    <t>会計年度任用職員報酬5,220等</t>
    <rPh sb="0" eb="10">
      <t>カイケイネンドニンヨウショクインホウシュウ</t>
    </rPh>
    <rPh sb="15" eb="16">
      <t>ナド</t>
    </rPh>
    <phoneticPr fontId="4"/>
  </si>
  <si>
    <t>母子家庭等相談事業</t>
    <rPh sb="0" eb="5">
      <t>ボシカテイトウ</t>
    </rPh>
    <rPh sb="5" eb="9">
      <t>ソウダンジギョウ</t>
    </rPh>
    <phoneticPr fontId="4"/>
  </si>
  <si>
    <r>
      <t xml:space="preserve">児童手当給付費5,500,000等
</t>
    </r>
    <r>
      <rPr>
        <b/>
        <sz val="9"/>
        <rFont val="BIZ UDゴシック"/>
        <family val="3"/>
        <charset val="128"/>
      </rPr>
      <t>【今年度の取組】</t>
    </r>
    <r>
      <rPr>
        <sz val="9"/>
        <rFont val="BIZ UDゴシック"/>
        <family val="3"/>
        <charset val="128"/>
      </rPr>
      <t xml:space="preserve">
法改正により、令和6年10月から、所得制限の撤廃、支給対象の高校修了までの拡大、第3子以降の月額の増額を行う。</t>
    </r>
    <rPh sb="0" eb="2">
      <t>ジドウ</t>
    </rPh>
    <rPh sb="2" eb="4">
      <t>テアテ</t>
    </rPh>
    <rPh sb="4" eb="6">
      <t>キュウフ</t>
    </rPh>
    <rPh sb="6" eb="7">
      <t>ヒ</t>
    </rPh>
    <rPh sb="16" eb="17">
      <t>トウ</t>
    </rPh>
    <rPh sb="27" eb="30">
      <t>ホウカイセイ</t>
    </rPh>
    <rPh sb="34" eb="36">
      <t>レイワ</t>
    </rPh>
    <rPh sb="37" eb="38">
      <t>ネン</t>
    </rPh>
    <rPh sb="40" eb="41">
      <t>ガツ</t>
    </rPh>
    <rPh sb="44" eb="48">
      <t>ショトクセイゲン</t>
    </rPh>
    <rPh sb="49" eb="51">
      <t>テッパイ</t>
    </rPh>
    <rPh sb="52" eb="56">
      <t>シキュウタイショウ</t>
    </rPh>
    <rPh sb="57" eb="59">
      <t>コウコウ</t>
    </rPh>
    <rPh sb="59" eb="61">
      <t>シュウリョウ</t>
    </rPh>
    <rPh sb="64" eb="66">
      <t>カクダイ</t>
    </rPh>
    <rPh sb="67" eb="68">
      <t>ダイ</t>
    </rPh>
    <rPh sb="69" eb="72">
      <t>シイコウ</t>
    </rPh>
    <rPh sb="73" eb="75">
      <t>ゲツガク</t>
    </rPh>
    <rPh sb="76" eb="78">
      <t>ゾウガク</t>
    </rPh>
    <rPh sb="79" eb="80">
      <t>オコナ</t>
    </rPh>
    <phoneticPr fontId="4"/>
  </si>
  <si>
    <t>児童手当給付費</t>
    <rPh sb="0" eb="2">
      <t>ジドウ</t>
    </rPh>
    <rPh sb="2" eb="4">
      <t>テアテ</t>
    </rPh>
    <rPh sb="4" eb="6">
      <t>キュウフ</t>
    </rPh>
    <rPh sb="6" eb="7">
      <t>ヒ</t>
    </rPh>
    <phoneticPr fontId="4"/>
  </si>
  <si>
    <t>施設型給付費4,000,000、地域型保育給付費2,300,000、施設等利用費1,300,000</t>
    <rPh sb="0" eb="3">
      <t>シセツガタ</t>
    </rPh>
    <rPh sb="3" eb="5">
      <t>キュウフ</t>
    </rPh>
    <rPh sb="5" eb="6">
      <t>ヒ</t>
    </rPh>
    <rPh sb="16" eb="19">
      <t>チイキガタ</t>
    </rPh>
    <rPh sb="19" eb="21">
      <t>ホイク</t>
    </rPh>
    <rPh sb="21" eb="23">
      <t>キュウフ</t>
    </rPh>
    <rPh sb="23" eb="24">
      <t>ヒ</t>
    </rPh>
    <rPh sb="34" eb="36">
      <t>シセツ</t>
    </rPh>
    <rPh sb="36" eb="37">
      <t>トウ</t>
    </rPh>
    <rPh sb="37" eb="39">
      <t>リヨウ</t>
    </rPh>
    <rPh sb="39" eb="40">
      <t>ヒ</t>
    </rPh>
    <phoneticPr fontId="4"/>
  </si>
  <si>
    <t>子ども・子育て支援給付費</t>
    <rPh sb="0" eb="1">
      <t>コ</t>
    </rPh>
    <rPh sb="4" eb="6">
      <t>コソダ</t>
    </rPh>
    <rPh sb="7" eb="9">
      <t>シエン</t>
    </rPh>
    <rPh sb="9" eb="11">
      <t>キュウフ</t>
    </rPh>
    <rPh sb="11" eb="12">
      <t>ヒ</t>
    </rPh>
    <phoneticPr fontId="4"/>
  </si>
  <si>
    <r>
      <t xml:space="preserve">こども医療給付費1,300,000等
</t>
    </r>
    <r>
      <rPr>
        <b/>
        <sz val="9"/>
        <rFont val="BIZ UDゴシック"/>
        <family val="3"/>
        <charset val="128"/>
      </rPr>
      <t>【今年度の取組】</t>
    </r>
    <r>
      <rPr>
        <sz val="9"/>
        <rFont val="BIZ UDゴシック"/>
        <family val="3"/>
        <charset val="128"/>
      </rPr>
      <t xml:space="preserve">
子育て世帯に対する支援のさらなる充実を図るため、これまで中学校修了までとしていたこども医療費の支給対象年齢を、入院・通院とも18歳まで（高校修了まで）に拡大する。</t>
    </r>
    <rPh sb="17" eb="18">
      <t>トウ</t>
    </rPh>
    <rPh sb="92" eb="93">
      <t>サイ</t>
    </rPh>
    <rPh sb="104" eb="106">
      <t>カクダイ</t>
    </rPh>
    <phoneticPr fontId="4"/>
  </si>
  <si>
    <t>こども医療給付費</t>
    <rPh sb="3" eb="5">
      <t>イリョウ</t>
    </rPh>
    <rPh sb="5" eb="7">
      <t>キュウフ</t>
    </rPh>
    <rPh sb="7" eb="8">
      <t>ヒ</t>
    </rPh>
    <phoneticPr fontId="4"/>
  </si>
  <si>
    <r>
      <t xml:space="preserve">病児保育事業委託料34,100等
</t>
    </r>
    <r>
      <rPr>
        <b/>
        <sz val="9"/>
        <rFont val="BIZ UDゴシック"/>
        <family val="3"/>
        <charset val="128"/>
      </rPr>
      <t>【今年度の取組】</t>
    </r>
    <r>
      <rPr>
        <sz val="9"/>
        <rFont val="BIZ UDゴシック"/>
        <family val="3"/>
        <charset val="128"/>
      </rPr>
      <t xml:space="preserve">
病児保育室利用者の利便性向上のため、利用予約システムによるインターネット予約の導入及び窓口での現金払いを開始する。</t>
    </r>
    <rPh sb="0" eb="1">
      <t>ビョウ</t>
    </rPh>
    <rPh sb="1" eb="2">
      <t>ジ</t>
    </rPh>
    <rPh sb="2" eb="4">
      <t>ホイク</t>
    </rPh>
    <rPh sb="4" eb="6">
      <t>ジギョウ</t>
    </rPh>
    <rPh sb="6" eb="8">
      <t>イタク</t>
    </rPh>
    <rPh sb="8" eb="9">
      <t>リョウ</t>
    </rPh>
    <rPh sb="15" eb="16">
      <t>トウ</t>
    </rPh>
    <rPh sb="26" eb="28">
      <t>ビョウジ</t>
    </rPh>
    <rPh sb="28" eb="31">
      <t>ホイクシツ</t>
    </rPh>
    <rPh sb="31" eb="34">
      <t>リヨウシャ</t>
    </rPh>
    <rPh sb="44" eb="48">
      <t>リヨウヨヤク</t>
    </rPh>
    <rPh sb="62" eb="64">
      <t>ヨヤク</t>
    </rPh>
    <rPh sb="65" eb="68">
      <t>ドウニュウオヨ</t>
    </rPh>
    <rPh sb="69" eb="71">
      <t>マドグチ</t>
    </rPh>
    <phoneticPr fontId="4"/>
  </si>
  <si>
    <t>病児保育事業</t>
    <rPh sb="0" eb="1">
      <t>ビョウ</t>
    </rPh>
    <rPh sb="1" eb="2">
      <t>ジ</t>
    </rPh>
    <rPh sb="2" eb="4">
      <t>ホイク</t>
    </rPh>
    <rPh sb="4" eb="6">
      <t>ジギョウ</t>
    </rPh>
    <phoneticPr fontId="4"/>
  </si>
  <si>
    <t>保育ステーション事業委託料130,200等</t>
    <rPh sb="20" eb="21">
      <t>トウ</t>
    </rPh>
    <phoneticPr fontId="4"/>
  </si>
  <si>
    <t>保育ステーション事業</t>
  </si>
  <si>
    <r>
      <t xml:space="preserve">こしがや「プラス保育」幼稚園事業費補助金123,000、特別支援保育事業費補助金25,000等
</t>
    </r>
    <r>
      <rPr>
        <b/>
        <sz val="9"/>
        <rFont val="BIZ UDゴシック"/>
        <family val="3"/>
        <charset val="128"/>
      </rPr>
      <t xml:space="preserve">【今年度の取組】
</t>
    </r>
    <r>
      <rPr>
        <sz val="9"/>
        <rFont val="BIZ UDゴシック"/>
        <family val="3"/>
        <charset val="128"/>
      </rPr>
      <t>私立保育園等において、特別支援保育対象児童を新規で受け入れた場合、加配保育士に対する補助額を増額する。</t>
    </r>
    <rPh sb="8" eb="10">
      <t>ホイク</t>
    </rPh>
    <rPh sb="11" eb="14">
      <t>ヨウチエン</t>
    </rPh>
    <rPh sb="14" eb="17">
      <t>ジギョウヒ</t>
    </rPh>
    <rPh sb="17" eb="20">
      <t>ホジョキン</t>
    </rPh>
    <rPh sb="28" eb="30">
      <t>トクベツ</t>
    </rPh>
    <rPh sb="30" eb="32">
      <t>シエン</t>
    </rPh>
    <rPh sb="32" eb="34">
      <t>ホイク</t>
    </rPh>
    <rPh sb="34" eb="37">
      <t>ジギョウヒ</t>
    </rPh>
    <rPh sb="37" eb="40">
      <t>ホジョキン</t>
    </rPh>
    <rPh sb="46" eb="47">
      <t>トウ</t>
    </rPh>
    <rPh sb="57" eb="59">
      <t>シリツ</t>
    </rPh>
    <rPh sb="59" eb="62">
      <t>ホイクエン</t>
    </rPh>
    <rPh sb="62" eb="63">
      <t>トウ</t>
    </rPh>
    <rPh sb="68" eb="72">
      <t>トクベツシエン</t>
    </rPh>
    <rPh sb="72" eb="74">
      <t>ホイク</t>
    </rPh>
    <rPh sb="74" eb="78">
      <t>タイショウジドウ</t>
    </rPh>
    <rPh sb="79" eb="81">
      <t>シンキ</t>
    </rPh>
    <rPh sb="82" eb="83">
      <t>ウ</t>
    </rPh>
    <rPh sb="84" eb="85">
      <t>イ</t>
    </rPh>
    <rPh sb="87" eb="89">
      <t>バアイ</t>
    </rPh>
    <rPh sb="90" eb="92">
      <t>カハイ</t>
    </rPh>
    <rPh sb="92" eb="95">
      <t>ホイクシ</t>
    </rPh>
    <rPh sb="96" eb="97">
      <t>タイ</t>
    </rPh>
    <rPh sb="99" eb="102">
      <t>ホジョガク</t>
    </rPh>
    <rPh sb="103" eb="105">
      <t>ゾウガク</t>
    </rPh>
    <phoneticPr fontId="4"/>
  </si>
  <si>
    <t>子育て充実事業</t>
    <rPh sb="3" eb="5">
      <t>ジュウジツ</t>
    </rPh>
    <rPh sb="5" eb="7">
      <t>ジギョウ</t>
    </rPh>
    <phoneticPr fontId="4"/>
  </si>
  <si>
    <r>
      <t xml:space="preserve">子育てサロン運営委託料28,900、ＳＡＩＴＡＭＡ出会いサポート事業負担金170、子ども食堂等運営事業費補助金3,600
</t>
    </r>
    <r>
      <rPr>
        <b/>
        <sz val="9"/>
        <color theme="1"/>
        <rFont val="BIZ UDゴシック"/>
        <family val="3"/>
        <charset val="128"/>
      </rPr>
      <t>【今年度の取組】</t>
    </r>
    <r>
      <rPr>
        <sz val="9"/>
        <color theme="1"/>
        <rFont val="BIZ UDゴシック"/>
        <family val="3"/>
        <charset val="128"/>
      </rPr>
      <t xml:space="preserve">
こどもの居場所づくりを推進するため、市内で子ども食堂等を実施している団体の活動を支援する。また、埼玉県の婚活事業の運営協議会に加入する。</t>
    </r>
    <rPh sb="88" eb="90">
      <t>シナイ</t>
    </rPh>
    <phoneticPr fontId="4"/>
  </si>
  <si>
    <t>子育て支援事業</t>
    <phoneticPr fontId="4"/>
  </si>
  <si>
    <t>会計年度任用職員報酬7,480等</t>
    <rPh sb="0" eb="10">
      <t>カイケイネンドニンヨウショクインホウシュウ</t>
    </rPh>
    <rPh sb="15" eb="16">
      <t>ナド</t>
    </rPh>
    <phoneticPr fontId="4"/>
  </si>
  <si>
    <t>児童相談事業</t>
    <rPh sb="0" eb="6">
      <t>ジドウソウダンジギョウ</t>
    </rPh>
    <phoneticPr fontId="4"/>
  </si>
  <si>
    <t>後期高齢者医療会計</t>
    <rPh sb="0" eb="2">
      <t>コウキ</t>
    </rPh>
    <rPh sb="2" eb="5">
      <t>コウレイシャ</t>
    </rPh>
    <rPh sb="5" eb="7">
      <t>イリョウ</t>
    </rPh>
    <rPh sb="7" eb="9">
      <t>カイケイ</t>
    </rPh>
    <phoneticPr fontId="4"/>
  </si>
  <si>
    <t>後期高齢者医療会計繰出金</t>
  </si>
  <si>
    <t>広域連合共通経費負担金106,000、療養給付費負担金3,926,000</t>
    <rPh sb="0" eb="2">
      <t>コウイキ</t>
    </rPh>
    <rPh sb="2" eb="4">
      <t>レンゴウ</t>
    </rPh>
    <rPh sb="4" eb="8">
      <t>キョウツウケイヒ</t>
    </rPh>
    <rPh sb="8" eb="11">
      <t>フタンキン</t>
    </rPh>
    <phoneticPr fontId="4"/>
  </si>
  <si>
    <t>後期高齢者医療広域連合事業</t>
    <rPh sb="0" eb="2">
      <t>コウキ</t>
    </rPh>
    <rPh sb="2" eb="5">
      <t>コウレイシャ</t>
    </rPh>
    <rPh sb="5" eb="7">
      <t>イリョウ</t>
    </rPh>
    <rPh sb="11" eb="13">
      <t>ジギョウ</t>
    </rPh>
    <phoneticPr fontId="4"/>
  </si>
  <si>
    <r>
      <t xml:space="preserve">包括的支援事業委託料350,600等
</t>
    </r>
    <r>
      <rPr>
        <b/>
        <sz val="9"/>
        <rFont val="BIZ UDゴシック"/>
        <family val="3"/>
        <charset val="128"/>
      </rPr>
      <t>【今年度の取組】</t>
    </r>
    <r>
      <rPr>
        <sz val="9"/>
        <rFont val="BIZ UDゴシック"/>
        <family val="3"/>
        <charset val="128"/>
      </rPr>
      <t xml:space="preserve">
地域包括支援センターの相談件数の増加等に対応するため、相談員を増員する。また、地域包括支援センター北越谷の開設に向けた準備を行う。</t>
    </r>
    <rPh sb="0" eb="7">
      <t>ホウカツテキシエンジギョウ</t>
    </rPh>
    <rPh sb="7" eb="10">
      <t>イタクリョウ</t>
    </rPh>
    <rPh sb="17" eb="18">
      <t>トウ</t>
    </rPh>
    <rPh sb="19" eb="26">
      <t>(コンネンドノトリクミ</t>
    </rPh>
    <rPh sb="28" eb="34">
      <t>チイキホウカツシエン</t>
    </rPh>
    <rPh sb="39" eb="43">
      <t>ソウダンケンスウ</t>
    </rPh>
    <rPh sb="44" eb="46">
      <t>ゾウカ</t>
    </rPh>
    <rPh sb="46" eb="47">
      <t>トウ</t>
    </rPh>
    <rPh sb="48" eb="50">
      <t>タイオウ</t>
    </rPh>
    <rPh sb="55" eb="58">
      <t>ソウダンイン</t>
    </rPh>
    <rPh sb="71" eb="73">
      <t>シエン</t>
    </rPh>
    <rPh sb="77" eb="80">
      <t>キタコシガヤ</t>
    </rPh>
    <rPh sb="84" eb="85">
      <t>ム</t>
    </rPh>
    <rPh sb="87" eb="89">
      <t>ジュンビ</t>
    </rPh>
    <rPh sb="90" eb="91">
      <t>オコナ</t>
    </rPh>
    <phoneticPr fontId="4"/>
  </si>
  <si>
    <t>包括的支援事業</t>
    <rPh sb="0" eb="3">
      <t>ホウカツテキ</t>
    </rPh>
    <rPh sb="3" eb="7">
      <t>シエンジギョウ</t>
    </rPh>
    <phoneticPr fontId="4"/>
  </si>
  <si>
    <t>介護保険会計</t>
  </si>
  <si>
    <t>介護保険会計繰出金</t>
  </si>
  <si>
    <t>特別養護老人ホーム等施設整備促進事業費補助金175,000、介護保険利用者負担軽減対策費160,000等</t>
    <rPh sb="0" eb="2">
      <t>トクベツ</t>
    </rPh>
    <rPh sb="2" eb="4">
      <t>ヨウゴ</t>
    </rPh>
    <rPh sb="4" eb="6">
      <t>ロウジン</t>
    </rPh>
    <rPh sb="9" eb="10">
      <t>トウ</t>
    </rPh>
    <rPh sb="10" eb="12">
      <t>シセツ</t>
    </rPh>
    <rPh sb="12" eb="14">
      <t>セイビ</t>
    </rPh>
    <rPh sb="14" eb="16">
      <t>ソクシン</t>
    </rPh>
    <rPh sb="16" eb="19">
      <t>ジギョウヒ</t>
    </rPh>
    <rPh sb="19" eb="22">
      <t>ホジョキン</t>
    </rPh>
    <rPh sb="30" eb="32">
      <t>カイゴ</t>
    </rPh>
    <rPh sb="32" eb="34">
      <t>ホケン</t>
    </rPh>
    <rPh sb="34" eb="37">
      <t>リヨウシャ</t>
    </rPh>
    <rPh sb="37" eb="39">
      <t>フタン</t>
    </rPh>
    <rPh sb="39" eb="41">
      <t>ケイゲン</t>
    </rPh>
    <rPh sb="41" eb="43">
      <t>タイサク</t>
    </rPh>
    <rPh sb="43" eb="44">
      <t>ヒ</t>
    </rPh>
    <rPh sb="51" eb="52">
      <t>トウ</t>
    </rPh>
    <phoneticPr fontId="4"/>
  </si>
  <si>
    <t>介護支援事業</t>
    <rPh sb="0" eb="6">
      <t>カイゴシエンジギョウ</t>
    </rPh>
    <phoneticPr fontId="4"/>
  </si>
  <si>
    <t>光熱費40,000、老人福祉センター管理運営委託料284,000等</t>
    <rPh sb="0" eb="3">
      <t>コウネツヒ</t>
    </rPh>
    <rPh sb="32" eb="33">
      <t>トウ</t>
    </rPh>
    <phoneticPr fontId="4"/>
  </si>
  <si>
    <t>老人福祉センター運営費</t>
  </si>
  <si>
    <t>国民健康保険会計</t>
  </si>
  <si>
    <t>国民健康保険会計繰出金</t>
  </si>
  <si>
    <r>
      <t xml:space="preserve">障がい者計画策定支援業務委託料6,100等
</t>
    </r>
    <r>
      <rPr>
        <b/>
        <sz val="9"/>
        <rFont val="BIZ UDゴシック"/>
        <family val="3"/>
        <charset val="128"/>
      </rPr>
      <t/>
    </r>
    <rPh sb="0" eb="1">
      <t>ショウ</t>
    </rPh>
    <rPh sb="3" eb="4">
      <t>シャ</t>
    </rPh>
    <rPh sb="4" eb="6">
      <t>ケイカク</t>
    </rPh>
    <rPh sb="6" eb="8">
      <t>サクテイ</t>
    </rPh>
    <rPh sb="8" eb="10">
      <t>シエン</t>
    </rPh>
    <rPh sb="10" eb="12">
      <t>ギョウム</t>
    </rPh>
    <rPh sb="12" eb="15">
      <t>イタクリョウ</t>
    </rPh>
    <rPh sb="20" eb="21">
      <t>トウ</t>
    </rPh>
    <phoneticPr fontId="4"/>
  </si>
  <si>
    <t>障がい者計画等策定事業</t>
    <rPh sb="0" eb="1">
      <t>ショウ</t>
    </rPh>
    <rPh sb="3" eb="4">
      <t>シャ</t>
    </rPh>
    <rPh sb="4" eb="6">
      <t>ケイカク</t>
    </rPh>
    <rPh sb="6" eb="7">
      <t>トウ</t>
    </rPh>
    <rPh sb="7" eb="9">
      <t>サクテイ</t>
    </rPh>
    <rPh sb="9" eb="11">
      <t>ジギョウ</t>
    </rPh>
    <phoneticPr fontId="4"/>
  </si>
  <si>
    <t>障がい者日常生活用具給付費</t>
    <rPh sb="0" eb="1">
      <t>ショウ</t>
    </rPh>
    <rPh sb="3" eb="4">
      <t>シャ</t>
    </rPh>
    <rPh sb="4" eb="8">
      <t>ニチジョウセイカツ</t>
    </rPh>
    <rPh sb="8" eb="10">
      <t>ヨウグ</t>
    </rPh>
    <rPh sb="10" eb="13">
      <t>キュウフヒ</t>
    </rPh>
    <phoneticPr fontId="4"/>
  </si>
  <si>
    <t>日常生活用具給付費</t>
    <rPh sb="0" eb="6">
      <t>ニチジョウセイカツヨウグ</t>
    </rPh>
    <rPh sb="6" eb="9">
      <t>キュウフヒ</t>
    </rPh>
    <phoneticPr fontId="4"/>
  </si>
  <si>
    <t>重度心身障がい者医療給付費560,000等</t>
    <rPh sb="20" eb="21">
      <t>トウ</t>
    </rPh>
    <phoneticPr fontId="4"/>
  </si>
  <si>
    <t>重度心身障がい者医療給付費</t>
  </si>
  <si>
    <r>
      <t>障がい者等相談支援事業委託料121,900等</t>
    </r>
    <r>
      <rPr>
        <b/>
        <sz val="9"/>
        <rFont val="BIZ UDゴシック"/>
        <family val="3"/>
        <charset val="128"/>
      </rPr>
      <t/>
    </r>
    <rPh sb="0" eb="1">
      <t>ショウ</t>
    </rPh>
    <rPh sb="3" eb="4">
      <t>シャ</t>
    </rPh>
    <rPh sb="4" eb="5">
      <t>ナド</t>
    </rPh>
    <rPh sb="5" eb="7">
      <t>ソウダン</t>
    </rPh>
    <rPh sb="7" eb="9">
      <t>シエン</t>
    </rPh>
    <rPh sb="9" eb="11">
      <t>ジギョウ</t>
    </rPh>
    <rPh sb="11" eb="14">
      <t>イタクリョウ</t>
    </rPh>
    <rPh sb="21" eb="22">
      <t>トウ</t>
    </rPh>
    <phoneticPr fontId="4"/>
  </si>
  <si>
    <t>地域生活支援拠点事業</t>
    <rPh sb="0" eb="2">
      <t>チイキ</t>
    </rPh>
    <rPh sb="2" eb="4">
      <t>セイカツ</t>
    </rPh>
    <rPh sb="4" eb="6">
      <t>シエン</t>
    </rPh>
    <rPh sb="6" eb="8">
      <t>キョテン</t>
    </rPh>
    <rPh sb="8" eb="9">
      <t>ゴト</t>
    </rPh>
    <phoneticPr fontId="4"/>
  </si>
  <si>
    <t>障がい者就労支援事業委託料17,900、コミュニケーション支援事業委託料31,000、福祉タクシー・自動車燃料券給付費46,000等</t>
    <rPh sb="0" eb="1">
      <t>ショウ</t>
    </rPh>
    <rPh sb="3" eb="4">
      <t>シャ</t>
    </rPh>
    <rPh sb="4" eb="6">
      <t>シュウロウ</t>
    </rPh>
    <rPh sb="6" eb="8">
      <t>シエン</t>
    </rPh>
    <rPh sb="8" eb="10">
      <t>ジギョウ</t>
    </rPh>
    <rPh sb="10" eb="12">
      <t>イタク</t>
    </rPh>
    <rPh sb="12" eb="13">
      <t>リョウ</t>
    </rPh>
    <rPh sb="29" eb="36">
      <t>シエンジギョウイタクリョウ</t>
    </rPh>
    <rPh sb="65" eb="66">
      <t>トウ</t>
    </rPh>
    <phoneticPr fontId="4"/>
  </si>
  <si>
    <t>社会生活支援事業</t>
    <rPh sb="0" eb="2">
      <t>シャカイ</t>
    </rPh>
    <rPh sb="2" eb="4">
      <t>セイカツ</t>
    </rPh>
    <rPh sb="4" eb="6">
      <t>シエン</t>
    </rPh>
    <rPh sb="6" eb="8">
      <t>ジギョウ</t>
    </rPh>
    <phoneticPr fontId="4"/>
  </si>
  <si>
    <t>障がい者福祉センター管理運営委託料23,200、地域活動支援センター事業費補助金33,000、障がい者ショートステイ給付費72,000等</t>
    <rPh sb="0" eb="1">
      <t>ショウ</t>
    </rPh>
    <rPh sb="3" eb="4">
      <t>シャ</t>
    </rPh>
    <rPh sb="4" eb="6">
      <t>フクシ</t>
    </rPh>
    <rPh sb="10" eb="14">
      <t>カンリウンエイ</t>
    </rPh>
    <rPh sb="14" eb="17">
      <t>イタクリョウ</t>
    </rPh>
    <rPh sb="24" eb="30">
      <t>チイキカツドウシエン</t>
    </rPh>
    <rPh sb="34" eb="40">
      <t>ジギョウヒホジョキン</t>
    </rPh>
    <rPh sb="47" eb="48">
      <t>ショウ</t>
    </rPh>
    <rPh sb="50" eb="51">
      <t>シャ</t>
    </rPh>
    <rPh sb="58" eb="61">
      <t>キュウフヒ</t>
    </rPh>
    <rPh sb="67" eb="68">
      <t>ナド</t>
    </rPh>
    <phoneticPr fontId="4"/>
  </si>
  <si>
    <t>デイサービス事業</t>
    <rPh sb="6" eb="8">
      <t>ジギョウ</t>
    </rPh>
    <phoneticPr fontId="4"/>
  </si>
  <si>
    <t>障がい者居宅介護等給付費800,000、障がい者移動支援事業給付費50,000等</t>
    <rPh sb="0" eb="1">
      <t>ショウ</t>
    </rPh>
    <rPh sb="3" eb="4">
      <t>シャ</t>
    </rPh>
    <rPh sb="4" eb="6">
      <t>キョタク</t>
    </rPh>
    <rPh sb="6" eb="8">
      <t>カイゴ</t>
    </rPh>
    <rPh sb="8" eb="9">
      <t>トウ</t>
    </rPh>
    <rPh sb="9" eb="12">
      <t>キュウフヒ</t>
    </rPh>
    <rPh sb="20" eb="21">
      <t>ショウ</t>
    </rPh>
    <rPh sb="23" eb="24">
      <t>シャ</t>
    </rPh>
    <rPh sb="24" eb="28">
      <t>イドウシエン</t>
    </rPh>
    <rPh sb="28" eb="30">
      <t>ジギョウ</t>
    </rPh>
    <rPh sb="30" eb="33">
      <t>キュウフヒ</t>
    </rPh>
    <rPh sb="39" eb="40">
      <t>ナド</t>
    </rPh>
    <phoneticPr fontId="4"/>
  </si>
  <si>
    <t>ホームヘルプサービス事業</t>
    <rPh sb="10" eb="12">
      <t>ジギョウ</t>
    </rPh>
    <phoneticPr fontId="4"/>
  </si>
  <si>
    <t>光熱水費8,000、障がい者就労訓練施設管理運営委託料179,800等</t>
    <rPh sb="0" eb="4">
      <t>コウネツスイヒ</t>
    </rPh>
    <rPh sb="10" eb="11">
      <t>ショウ</t>
    </rPh>
    <rPh sb="13" eb="14">
      <t>シャ</t>
    </rPh>
    <rPh sb="14" eb="16">
      <t>シュウロウ</t>
    </rPh>
    <rPh sb="16" eb="18">
      <t>クンレン</t>
    </rPh>
    <rPh sb="18" eb="20">
      <t>シセツ</t>
    </rPh>
    <rPh sb="20" eb="22">
      <t>カンリ</t>
    </rPh>
    <rPh sb="22" eb="24">
      <t>ウンエイ</t>
    </rPh>
    <rPh sb="24" eb="27">
      <t>イタクリョウ</t>
    </rPh>
    <rPh sb="34" eb="35">
      <t>トウ</t>
    </rPh>
    <phoneticPr fontId="4"/>
  </si>
  <si>
    <t>障がい者就労訓練施設運営費</t>
    <rPh sb="4" eb="6">
      <t>シュウロウ</t>
    </rPh>
    <rPh sb="6" eb="8">
      <t>クンレン</t>
    </rPh>
    <rPh sb="8" eb="10">
      <t>シセツ</t>
    </rPh>
    <rPh sb="10" eb="13">
      <t>ウンエイヒ</t>
    </rPh>
    <phoneticPr fontId="4"/>
  </si>
  <si>
    <t>障がい者グループホーム等給付費760,000等</t>
    <rPh sb="0" eb="1">
      <t>ショウ</t>
    </rPh>
    <rPh sb="3" eb="4">
      <t>シャ</t>
    </rPh>
    <rPh sb="11" eb="12">
      <t>トウ</t>
    </rPh>
    <rPh sb="12" eb="14">
      <t>キュウフ</t>
    </rPh>
    <rPh sb="14" eb="15">
      <t>ヒ</t>
    </rPh>
    <rPh sb="22" eb="23">
      <t>トウ</t>
    </rPh>
    <phoneticPr fontId="4"/>
  </si>
  <si>
    <t>グループホーム等支援事業</t>
    <rPh sb="7" eb="8">
      <t>トウ</t>
    </rPh>
    <rPh sb="8" eb="12">
      <t>シエンジギョウ</t>
    </rPh>
    <phoneticPr fontId="4"/>
  </si>
  <si>
    <t>生活介護給付費1,400,000等</t>
    <rPh sb="0" eb="2">
      <t>セイカツ</t>
    </rPh>
    <rPh sb="2" eb="4">
      <t>カイゴ</t>
    </rPh>
    <rPh sb="4" eb="6">
      <t>キュウフ</t>
    </rPh>
    <rPh sb="6" eb="7">
      <t>ヒ</t>
    </rPh>
    <rPh sb="16" eb="17">
      <t>トウ</t>
    </rPh>
    <phoneticPr fontId="4"/>
  </si>
  <si>
    <t>施設サービス給付費</t>
    <rPh sb="0" eb="2">
      <t>シセツ</t>
    </rPh>
    <rPh sb="6" eb="8">
      <t>キュウフ</t>
    </rPh>
    <rPh sb="8" eb="9">
      <t>ヒ</t>
    </rPh>
    <phoneticPr fontId="4"/>
  </si>
  <si>
    <r>
      <t>地域福祉計画策定支援業務委託料8,500、重層的支援体制整備事業委託料18,000等</t>
    </r>
    <r>
      <rPr>
        <b/>
        <sz val="9"/>
        <rFont val="BIZ UDゴシック"/>
        <family val="3"/>
        <charset val="128"/>
      </rPr>
      <t/>
    </r>
    <rPh sb="0" eb="4">
      <t>チイキフクシ</t>
    </rPh>
    <rPh sb="4" eb="6">
      <t>ケイカク</t>
    </rPh>
    <rPh sb="21" eb="23">
      <t>ジュウソウ</t>
    </rPh>
    <rPh sb="23" eb="24">
      <t>テキ</t>
    </rPh>
    <rPh sb="24" eb="26">
      <t>シエン</t>
    </rPh>
    <rPh sb="26" eb="28">
      <t>タイセイ</t>
    </rPh>
    <rPh sb="28" eb="30">
      <t>セイビ</t>
    </rPh>
    <rPh sb="30" eb="32">
      <t>ジギョウ</t>
    </rPh>
    <rPh sb="32" eb="35">
      <t>イタクリョウ</t>
    </rPh>
    <rPh sb="41" eb="42">
      <t>トウ</t>
    </rPh>
    <phoneticPr fontId="4"/>
  </si>
  <si>
    <t>地域福祉推進事業</t>
    <rPh sb="0" eb="2">
      <t>チイキ</t>
    </rPh>
    <rPh sb="2" eb="4">
      <t>フクシ</t>
    </rPh>
    <rPh sb="4" eb="6">
      <t>スイシン</t>
    </rPh>
    <rPh sb="6" eb="8">
      <t>ジギョウ</t>
    </rPh>
    <phoneticPr fontId="4"/>
  </si>
  <si>
    <t>生活困窮者自立支援事業委託料29,100、子どもの学習・生活支援事業委託料25,400、就労準備支援事業委託料24,000等</t>
    <rPh sb="9" eb="11">
      <t>ジギョウ</t>
    </rPh>
    <rPh sb="11" eb="14">
      <t>イタクリョウ</t>
    </rPh>
    <rPh sb="21" eb="22">
      <t>コ</t>
    </rPh>
    <rPh sb="25" eb="27">
      <t>ガクシュウ</t>
    </rPh>
    <rPh sb="28" eb="30">
      <t>セイカツ</t>
    </rPh>
    <rPh sb="30" eb="32">
      <t>シエン</t>
    </rPh>
    <rPh sb="32" eb="34">
      <t>ジギョウ</t>
    </rPh>
    <rPh sb="34" eb="37">
      <t>イタクリョウ</t>
    </rPh>
    <rPh sb="44" eb="55">
      <t>シュウロウジュンビシエンジギョウイタクリョウ</t>
    </rPh>
    <rPh sb="61" eb="62">
      <t>トウ</t>
    </rPh>
    <phoneticPr fontId="4"/>
  </si>
  <si>
    <t>生活困窮者自立支援事業</t>
    <rPh sb="0" eb="5">
      <t>セイカツコンキュウシャ</t>
    </rPh>
    <rPh sb="5" eb="11">
      <t>ジリツシエンジギョウ</t>
    </rPh>
    <phoneticPr fontId="4"/>
  </si>
  <si>
    <t>成年後見事業委託料</t>
    <rPh sb="0" eb="2">
      <t>セイネン</t>
    </rPh>
    <rPh sb="2" eb="4">
      <t>コウケン</t>
    </rPh>
    <rPh sb="4" eb="6">
      <t>ジギョウ</t>
    </rPh>
    <rPh sb="6" eb="8">
      <t>イタク</t>
    </rPh>
    <rPh sb="8" eb="9">
      <t>リョウ</t>
    </rPh>
    <phoneticPr fontId="4"/>
  </si>
  <si>
    <t>成年後見事業</t>
    <rPh sb="0" eb="2">
      <t>セイネン</t>
    </rPh>
    <rPh sb="2" eb="4">
      <t>コウケン</t>
    </rPh>
    <rPh sb="4" eb="6">
      <t>ジギョウ</t>
    </rPh>
    <phoneticPr fontId="4"/>
  </si>
  <si>
    <t>民生・児童委員活動報償金39,500等</t>
    <rPh sb="18" eb="19">
      <t>トウ</t>
    </rPh>
    <phoneticPr fontId="4"/>
  </si>
  <si>
    <t>民生・児童委員活動事業</t>
    <phoneticPr fontId="4"/>
  </si>
  <si>
    <t>民生費</t>
    <rPh sb="0" eb="2">
      <t>ミンセイ</t>
    </rPh>
    <rPh sb="2" eb="3">
      <t>ヒ</t>
    </rPh>
    <phoneticPr fontId="4"/>
  </si>
  <si>
    <t>災害復旧委託料</t>
    <rPh sb="0" eb="2">
      <t>サイガイ</t>
    </rPh>
    <rPh sb="2" eb="4">
      <t>フッキュウ</t>
    </rPh>
    <rPh sb="4" eb="7">
      <t>イタクリョウ</t>
    </rPh>
    <phoneticPr fontId="4"/>
  </si>
  <si>
    <t>災害復旧事業</t>
    <rPh sb="0" eb="2">
      <t>サイガイ</t>
    </rPh>
    <rPh sb="2" eb="4">
      <t>フッキュウ</t>
    </rPh>
    <rPh sb="4" eb="6">
      <t>ジギョウ</t>
    </rPh>
    <phoneticPr fontId="4"/>
  </si>
  <si>
    <t>自主防災組織育成費補助金</t>
    <phoneticPr fontId="4"/>
  </si>
  <si>
    <r>
      <t xml:space="preserve">消耗品費3,600、備蓄材料費17,000、被災者支援システム業務委託料5,400等
</t>
    </r>
    <r>
      <rPr>
        <b/>
        <sz val="9"/>
        <rFont val="BIZ UDゴシック"/>
        <family val="3"/>
        <charset val="128"/>
      </rPr>
      <t xml:space="preserve">【今年度の取組】
</t>
    </r>
    <r>
      <rPr>
        <sz val="9"/>
        <rFont val="BIZ UDゴシック"/>
        <family val="3"/>
        <charset val="128"/>
      </rPr>
      <t>災害発生時における迅速かつ的確な被災者の生活再建支援体制を確立するため、被災者支援システムを導入する。</t>
    </r>
    <rPh sb="0" eb="4">
      <t>ショウモウヒンヒ</t>
    </rPh>
    <rPh sb="10" eb="12">
      <t>ビチク</t>
    </rPh>
    <rPh sb="12" eb="15">
      <t>ザイリョウヒ</t>
    </rPh>
    <rPh sb="22" eb="27">
      <t>ヒサイシャシエン</t>
    </rPh>
    <rPh sb="31" eb="33">
      <t>ギョウム</t>
    </rPh>
    <rPh sb="33" eb="36">
      <t>イタクリョウ</t>
    </rPh>
    <rPh sb="41" eb="42">
      <t>トウ</t>
    </rPh>
    <rPh sb="44" eb="47">
      <t>コンネンド</t>
    </rPh>
    <rPh sb="48" eb="49">
      <t>ト</t>
    </rPh>
    <rPh sb="49" eb="50">
      <t>ク</t>
    </rPh>
    <rPh sb="61" eb="63">
      <t>ジンソク</t>
    </rPh>
    <rPh sb="65" eb="67">
      <t>テキカク</t>
    </rPh>
    <rPh sb="68" eb="71">
      <t>ヒサイシャ</t>
    </rPh>
    <rPh sb="72" eb="80">
      <t>セイカツサイケンシエンタイセイ</t>
    </rPh>
    <rPh sb="81" eb="83">
      <t>カクリツ</t>
    </rPh>
    <rPh sb="88" eb="93">
      <t>ヒサイシャシエン</t>
    </rPh>
    <phoneticPr fontId="4"/>
  </si>
  <si>
    <t>消費生活センター運営委員謝礼600、消耗品費1,200等</t>
    <rPh sb="0" eb="4">
      <t>ショウヒセイカツ</t>
    </rPh>
    <rPh sb="8" eb="12">
      <t>ウンエイイイン</t>
    </rPh>
    <rPh sb="12" eb="14">
      <t>シャレイ</t>
    </rPh>
    <rPh sb="18" eb="22">
      <t>ショウモウヒンヒ</t>
    </rPh>
    <rPh sb="27" eb="28">
      <t>トウ</t>
    </rPh>
    <phoneticPr fontId="4"/>
  </si>
  <si>
    <t>消費者啓発事業</t>
    <rPh sb="0" eb="3">
      <t>ショウヒシャ</t>
    </rPh>
    <rPh sb="3" eb="5">
      <t>ケイハツ</t>
    </rPh>
    <rPh sb="5" eb="7">
      <t>ジギョウ</t>
    </rPh>
    <phoneticPr fontId="4"/>
  </si>
  <si>
    <t>会計年度任用職員報酬7,010、法律相談謝礼3,180等</t>
    <rPh sb="0" eb="2">
      <t>カイケイ</t>
    </rPh>
    <rPh sb="2" eb="4">
      <t>ネンド</t>
    </rPh>
    <rPh sb="4" eb="6">
      <t>ニンヨウ</t>
    </rPh>
    <rPh sb="6" eb="8">
      <t>ショクイン</t>
    </rPh>
    <rPh sb="8" eb="10">
      <t>ホウシュウ</t>
    </rPh>
    <rPh sb="16" eb="18">
      <t>ホウリツ</t>
    </rPh>
    <rPh sb="18" eb="20">
      <t>ソウダン</t>
    </rPh>
    <rPh sb="20" eb="22">
      <t>シャレイ</t>
    </rPh>
    <phoneticPr fontId="4"/>
  </si>
  <si>
    <t>市民相談事業</t>
    <rPh sb="0" eb="2">
      <t>シミン</t>
    </rPh>
    <rPh sb="2" eb="4">
      <t>ソウダン</t>
    </rPh>
    <rPh sb="4" eb="6">
      <t>ジギョウ</t>
    </rPh>
    <phoneticPr fontId="4"/>
  </si>
  <si>
    <t>消耗品費2,100、手数料220、防犯用カメラ借上料370、防犯協会補助金4,000等</t>
    <rPh sb="10" eb="13">
      <t>テスウリョウ</t>
    </rPh>
    <rPh sb="17" eb="19">
      <t>ボウハン</t>
    </rPh>
    <rPh sb="19" eb="20">
      <t>ヨウ</t>
    </rPh>
    <rPh sb="23" eb="24">
      <t>シャク</t>
    </rPh>
    <rPh sb="24" eb="25">
      <t>ジョウ</t>
    </rPh>
    <rPh sb="25" eb="26">
      <t>リョウ</t>
    </rPh>
    <rPh sb="30" eb="32">
      <t>ボウハン</t>
    </rPh>
    <rPh sb="32" eb="34">
      <t>キョウカイ</t>
    </rPh>
    <rPh sb="34" eb="37">
      <t>ホジョキン</t>
    </rPh>
    <rPh sb="42" eb="43">
      <t>トウ</t>
    </rPh>
    <phoneticPr fontId="4"/>
  </si>
  <si>
    <t>防犯対策事業</t>
    <rPh sb="0" eb="2">
      <t>ボウハン</t>
    </rPh>
    <rPh sb="2" eb="4">
      <t>タイサク</t>
    </rPh>
    <rPh sb="4" eb="6">
      <t>ジギョウ</t>
    </rPh>
    <phoneticPr fontId="4"/>
  </si>
  <si>
    <t>会計年度任用職員報酬48,000、消耗品費1,900等</t>
    <rPh sb="0" eb="2">
      <t>カイケイ</t>
    </rPh>
    <rPh sb="2" eb="4">
      <t>ネンド</t>
    </rPh>
    <rPh sb="4" eb="6">
      <t>ニンヨウ</t>
    </rPh>
    <rPh sb="6" eb="8">
      <t>ショクイン</t>
    </rPh>
    <rPh sb="8" eb="10">
      <t>ホウシュウ</t>
    </rPh>
    <rPh sb="17" eb="19">
      <t>ショウモウ</t>
    </rPh>
    <rPh sb="19" eb="20">
      <t>ヒン</t>
    </rPh>
    <rPh sb="20" eb="21">
      <t>ヒ</t>
    </rPh>
    <phoneticPr fontId="4"/>
  </si>
  <si>
    <t>交通安全指導事業</t>
    <rPh sb="0" eb="2">
      <t>コウツウ</t>
    </rPh>
    <rPh sb="2" eb="4">
      <t>アンゼン</t>
    </rPh>
    <rPh sb="4" eb="6">
      <t>シドウ</t>
    </rPh>
    <rPh sb="6" eb="8">
      <t>ジギョウ</t>
    </rPh>
    <phoneticPr fontId="4"/>
  </si>
  <si>
    <t>印刷製本費1,480、手数料12,000、コンビニ交付システム等保守管理委託料9,900等</t>
    <rPh sb="0" eb="5">
      <t>インサツセイホンヒ</t>
    </rPh>
    <rPh sb="11" eb="14">
      <t>テスウリョウ</t>
    </rPh>
    <rPh sb="44" eb="45">
      <t>トウ</t>
    </rPh>
    <phoneticPr fontId="4"/>
  </si>
  <si>
    <t>証明発行事業</t>
    <rPh sb="0" eb="2">
      <t>ショウメイ</t>
    </rPh>
    <rPh sb="2" eb="4">
      <t>ハッコウ</t>
    </rPh>
    <rPh sb="4" eb="6">
      <t>ジギョウ</t>
    </rPh>
    <phoneticPr fontId="4"/>
  </si>
  <si>
    <t>男女共同参画支援センター管理運営委託料29,600等</t>
    <rPh sb="0" eb="2">
      <t>ダンジョ</t>
    </rPh>
    <rPh sb="2" eb="4">
      <t>キョウドウ</t>
    </rPh>
    <rPh sb="4" eb="6">
      <t>サンカク</t>
    </rPh>
    <rPh sb="6" eb="8">
      <t>シエン</t>
    </rPh>
    <rPh sb="12" eb="14">
      <t>カンリ</t>
    </rPh>
    <rPh sb="14" eb="16">
      <t>ウンエイ</t>
    </rPh>
    <rPh sb="16" eb="18">
      <t>イタク</t>
    </rPh>
    <rPh sb="18" eb="19">
      <t>リョウ</t>
    </rPh>
    <rPh sb="25" eb="26">
      <t>トウ</t>
    </rPh>
    <phoneticPr fontId="4"/>
  </si>
  <si>
    <t>男女共同参画支援センター管理費</t>
    <rPh sb="0" eb="2">
      <t>ダンジョ</t>
    </rPh>
    <rPh sb="2" eb="4">
      <t>キョウドウ</t>
    </rPh>
    <rPh sb="4" eb="6">
      <t>サンカク</t>
    </rPh>
    <rPh sb="6" eb="8">
      <t>シエン</t>
    </rPh>
    <rPh sb="12" eb="15">
      <t>カンリヒ</t>
    </rPh>
    <phoneticPr fontId="4"/>
  </si>
  <si>
    <r>
      <t xml:space="preserve">（仮称）多文化共生推進センター整備工事費19,000、施設用器具購入費2,000
</t>
    </r>
    <r>
      <rPr>
        <b/>
        <sz val="9"/>
        <rFont val="BIZ UDゴシック"/>
        <family val="3"/>
        <charset val="128"/>
      </rPr>
      <t>【今年度の取組】</t>
    </r>
    <r>
      <rPr>
        <sz val="9"/>
        <rFont val="BIZ UDゴシック"/>
        <family val="3"/>
        <charset val="128"/>
      </rPr>
      <t xml:space="preserve">
（仮称）多文化共生推進センターを設置するため、越谷市市民活動支援センターの改修を行う。</t>
    </r>
    <rPh sb="1" eb="3">
      <t>カショウ</t>
    </rPh>
    <rPh sb="4" eb="7">
      <t>タブンカ</t>
    </rPh>
    <rPh sb="7" eb="9">
      <t>キョウセイ</t>
    </rPh>
    <rPh sb="9" eb="11">
      <t>スイシン</t>
    </rPh>
    <rPh sb="15" eb="17">
      <t>セイビ</t>
    </rPh>
    <rPh sb="17" eb="19">
      <t>コウジ</t>
    </rPh>
    <rPh sb="19" eb="20">
      <t>ヒ</t>
    </rPh>
    <rPh sb="27" eb="29">
      <t>シセツ</t>
    </rPh>
    <rPh sb="29" eb="30">
      <t>ヨウ</t>
    </rPh>
    <rPh sb="30" eb="32">
      <t>キグ</t>
    </rPh>
    <rPh sb="32" eb="35">
      <t>コウニュウヒ</t>
    </rPh>
    <rPh sb="42" eb="45">
      <t>コンネンド</t>
    </rPh>
    <rPh sb="46" eb="48">
      <t>トリクミ</t>
    </rPh>
    <phoneticPr fontId="4"/>
  </si>
  <si>
    <t>新</t>
    <rPh sb="0" eb="1">
      <t>シン</t>
    </rPh>
    <phoneticPr fontId="4"/>
  </si>
  <si>
    <t>（仮称）多文化共生推進センター整備事業</t>
    <rPh sb="1" eb="3">
      <t>カショウ</t>
    </rPh>
    <rPh sb="4" eb="7">
      <t>タブンカ</t>
    </rPh>
    <rPh sb="7" eb="9">
      <t>キョウセイ</t>
    </rPh>
    <rPh sb="9" eb="11">
      <t>スイシン</t>
    </rPh>
    <rPh sb="15" eb="17">
      <t>セイビ</t>
    </rPh>
    <rPh sb="17" eb="19">
      <t>ジギョウ</t>
    </rPh>
    <phoneticPr fontId="4"/>
  </si>
  <si>
    <r>
      <t xml:space="preserve">国際交流協会補助金5,500
</t>
    </r>
    <r>
      <rPr>
        <b/>
        <sz val="9"/>
        <rFont val="BIZ UDゴシック"/>
        <family val="3"/>
        <charset val="128"/>
      </rPr>
      <t>【今年度の取組】</t>
    </r>
    <r>
      <rPr>
        <sz val="9"/>
        <rFont val="BIZ UDゴシック"/>
        <family val="3"/>
        <charset val="128"/>
      </rPr>
      <t xml:space="preserve">
キャンベルタウン市との姉妹都市提携40周年の記念事業を実施する。</t>
    </r>
    <rPh sb="0" eb="9">
      <t>コクサイコウリュウキョウカイホジョキン</t>
    </rPh>
    <rPh sb="16" eb="19">
      <t>コンネンド</t>
    </rPh>
    <rPh sb="20" eb="22">
      <t>トリクミ</t>
    </rPh>
    <rPh sb="32" eb="33">
      <t>シ</t>
    </rPh>
    <rPh sb="35" eb="41">
      <t>シマイトシテイケイ</t>
    </rPh>
    <rPh sb="43" eb="45">
      <t>シュウネン</t>
    </rPh>
    <rPh sb="46" eb="48">
      <t>キネン</t>
    </rPh>
    <rPh sb="48" eb="50">
      <t>ジギョウ</t>
    </rPh>
    <rPh sb="51" eb="53">
      <t>ジッシ</t>
    </rPh>
    <phoneticPr fontId="4"/>
  </si>
  <si>
    <t>国際交流協会支援事業</t>
    <rPh sb="0" eb="2">
      <t>コクサイ</t>
    </rPh>
    <rPh sb="2" eb="4">
      <t>コウリュウ</t>
    </rPh>
    <rPh sb="4" eb="6">
      <t>キョウカイ</t>
    </rPh>
    <rPh sb="6" eb="10">
      <t>シエンジギョウ</t>
    </rPh>
    <phoneticPr fontId="4"/>
  </si>
  <si>
    <r>
      <t xml:space="preserve">会計年度任用職員報酬10,050等
</t>
    </r>
    <r>
      <rPr>
        <b/>
        <sz val="9"/>
        <rFont val="BIZ UDゴシック"/>
        <family val="3"/>
        <charset val="128"/>
      </rPr>
      <t>【今年度の取組】</t>
    </r>
    <r>
      <rPr>
        <sz val="9"/>
        <rFont val="BIZ UDゴシック"/>
        <family val="3"/>
        <charset val="128"/>
      </rPr>
      <t xml:space="preserve">
転入してきた外国人に対し、生活オリエンテーションを市民活動支援課窓口で実施する。</t>
    </r>
    <rPh sb="0" eb="2">
      <t>カイケイ</t>
    </rPh>
    <rPh sb="2" eb="4">
      <t>ネンド</t>
    </rPh>
    <rPh sb="4" eb="6">
      <t>ニンヨウ</t>
    </rPh>
    <rPh sb="6" eb="8">
      <t>ショクイン</t>
    </rPh>
    <rPh sb="8" eb="10">
      <t>ホウシュウ</t>
    </rPh>
    <rPh sb="16" eb="17">
      <t>トウ</t>
    </rPh>
    <rPh sb="27" eb="29">
      <t>テンニュウ</t>
    </rPh>
    <rPh sb="33" eb="36">
      <t>ガイコクジン</t>
    </rPh>
    <rPh sb="37" eb="38">
      <t>タイ</t>
    </rPh>
    <rPh sb="40" eb="42">
      <t>セイカツ</t>
    </rPh>
    <rPh sb="52" eb="61">
      <t>シミンカツドウシエンカマドグチ</t>
    </rPh>
    <rPh sb="62" eb="64">
      <t>ジッシ</t>
    </rPh>
    <phoneticPr fontId="4"/>
  </si>
  <si>
    <t>国際交流員事業</t>
    <rPh sb="0" eb="2">
      <t>コクサイ</t>
    </rPh>
    <rPh sb="2" eb="4">
      <t>コウリュウ</t>
    </rPh>
    <rPh sb="4" eb="5">
      <t>イン</t>
    </rPh>
    <rPh sb="5" eb="7">
      <t>ジギョウ</t>
    </rPh>
    <phoneticPr fontId="4"/>
  </si>
  <si>
    <t>報償費300、講師等謝礼190、遠隔通訳サービス業務委託料1,000等</t>
    <rPh sb="0" eb="2">
      <t>ホウショウ</t>
    </rPh>
    <rPh sb="2" eb="3">
      <t>ヒ</t>
    </rPh>
    <rPh sb="7" eb="9">
      <t>コウシ</t>
    </rPh>
    <rPh sb="9" eb="10">
      <t>トウ</t>
    </rPh>
    <rPh sb="10" eb="12">
      <t>シャレイ</t>
    </rPh>
    <rPh sb="16" eb="18">
      <t>エンカク</t>
    </rPh>
    <rPh sb="18" eb="20">
      <t>ツウヤク</t>
    </rPh>
    <rPh sb="24" eb="29">
      <t>ギョウムイタクリョウ</t>
    </rPh>
    <rPh sb="34" eb="35">
      <t>トウ</t>
    </rPh>
    <phoneticPr fontId="4"/>
  </si>
  <si>
    <t>多文化共生推進事業</t>
    <rPh sb="0" eb="3">
      <t>タブンカ</t>
    </rPh>
    <rPh sb="3" eb="5">
      <t>キョウセイ</t>
    </rPh>
    <rPh sb="5" eb="7">
      <t>スイシン</t>
    </rPh>
    <rPh sb="7" eb="9">
      <t>ジギョウ</t>
    </rPh>
    <phoneticPr fontId="4"/>
  </si>
  <si>
    <t>市民活動支援センター管理運営委託料107,000等</t>
    <rPh sb="0" eb="2">
      <t>シミン</t>
    </rPh>
    <rPh sb="2" eb="4">
      <t>カツドウ</t>
    </rPh>
    <rPh sb="4" eb="6">
      <t>シエン</t>
    </rPh>
    <rPh sb="10" eb="12">
      <t>カンリ</t>
    </rPh>
    <rPh sb="12" eb="14">
      <t>ウンエイ</t>
    </rPh>
    <rPh sb="14" eb="17">
      <t>イタクリョウ</t>
    </rPh>
    <rPh sb="24" eb="25">
      <t>トウ</t>
    </rPh>
    <phoneticPr fontId="4"/>
  </si>
  <si>
    <t>市民活動支援センター管理費</t>
    <rPh sb="0" eb="2">
      <t>シミン</t>
    </rPh>
    <rPh sb="2" eb="4">
      <t>カツドウ</t>
    </rPh>
    <rPh sb="4" eb="6">
      <t>シエン</t>
    </rPh>
    <rPh sb="10" eb="13">
      <t>カンリヒ</t>
    </rPh>
    <phoneticPr fontId="4"/>
  </si>
  <si>
    <t>中央市民会館管理運営委託料194,900等</t>
    <rPh sb="20" eb="21">
      <t>トウ</t>
    </rPh>
    <phoneticPr fontId="4"/>
  </si>
  <si>
    <r>
      <t xml:space="preserve">手数料20、監理委託料16,000、大袋地区センター・公民館建設工事費720,000、水道加入者分担金6,930
</t>
    </r>
    <r>
      <rPr>
        <b/>
        <sz val="9"/>
        <rFont val="BIZ UDゴシック"/>
        <family val="3"/>
        <charset val="128"/>
      </rPr>
      <t>【今後の取組】</t>
    </r>
    <r>
      <rPr>
        <sz val="9"/>
        <rFont val="BIZ UDゴシック"/>
        <family val="3"/>
        <charset val="128"/>
      </rPr>
      <t xml:space="preserve">
市内10番目の大型館の設置に向け、建設工事に着手する。（令和8年度供用開始予定）</t>
    </r>
    <rPh sb="0" eb="3">
      <t>テスウリョウ</t>
    </rPh>
    <rPh sb="6" eb="11">
      <t>カンリイタクリョウ</t>
    </rPh>
    <rPh sb="18" eb="22">
      <t>オオブクロチク</t>
    </rPh>
    <rPh sb="27" eb="30">
      <t>コウミンカン</t>
    </rPh>
    <rPh sb="30" eb="35">
      <t>ケンセツコウジヒ</t>
    </rPh>
    <rPh sb="43" eb="51">
      <t>スイドウカニュウシャブンタンキン</t>
    </rPh>
    <rPh sb="58" eb="60">
      <t>コンゴ</t>
    </rPh>
    <rPh sb="61" eb="63">
      <t>トリクミ</t>
    </rPh>
    <rPh sb="65" eb="67">
      <t>シナイ</t>
    </rPh>
    <rPh sb="69" eb="71">
      <t>バンメ</t>
    </rPh>
    <rPh sb="76" eb="78">
      <t>セッチ</t>
    </rPh>
    <rPh sb="79" eb="80">
      <t>ム</t>
    </rPh>
    <rPh sb="93" eb="95">
      <t>レイワ</t>
    </rPh>
    <rPh sb="96" eb="98">
      <t>ネンド</t>
    </rPh>
    <rPh sb="98" eb="100">
      <t>キョウヨウ</t>
    </rPh>
    <rPh sb="100" eb="102">
      <t>カイシ</t>
    </rPh>
    <rPh sb="102" eb="104">
      <t>ヨテイ</t>
    </rPh>
    <phoneticPr fontId="4"/>
  </si>
  <si>
    <t>コミュニティ事業助成金2,500、地区まちづくり助成金43,000等</t>
    <rPh sb="6" eb="8">
      <t>ジギョウ</t>
    </rPh>
    <rPh sb="8" eb="11">
      <t>ジョセイキン</t>
    </rPh>
    <rPh sb="17" eb="19">
      <t>チク</t>
    </rPh>
    <rPh sb="24" eb="27">
      <t>ジョセイキン</t>
    </rPh>
    <rPh sb="33" eb="34">
      <t>トウ</t>
    </rPh>
    <phoneticPr fontId="4"/>
  </si>
  <si>
    <t>集会施設整備事業費補助金</t>
    <rPh sb="6" eb="9">
      <t>ジギョウヒ</t>
    </rPh>
    <rPh sb="9" eb="12">
      <t>ホジョキン</t>
    </rPh>
    <phoneticPr fontId="4"/>
  </si>
  <si>
    <t>自治会振興交付金90,000等</t>
    <rPh sb="0" eb="3">
      <t>ジチカイ</t>
    </rPh>
    <rPh sb="3" eb="5">
      <t>シンコウ</t>
    </rPh>
    <rPh sb="5" eb="8">
      <t>コウフキン</t>
    </rPh>
    <rPh sb="14" eb="15">
      <t>トウ</t>
    </rPh>
    <phoneticPr fontId="4"/>
  </si>
  <si>
    <t>収入印紙等購入費90,000、越谷ツインシティ管理費等負担金3,470等</t>
    <rPh sb="4" eb="5">
      <t>トウ</t>
    </rPh>
    <rPh sb="15" eb="17">
      <t>コシガヤ</t>
    </rPh>
    <rPh sb="23" eb="26">
      <t>カンリヒ</t>
    </rPh>
    <rPh sb="26" eb="27">
      <t>トウ</t>
    </rPh>
    <rPh sb="27" eb="30">
      <t>フタンキン</t>
    </rPh>
    <rPh sb="35" eb="36">
      <t>トウ</t>
    </rPh>
    <phoneticPr fontId="4"/>
  </si>
  <si>
    <t>パスポートセンター運営費</t>
    <rPh sb="9" eb="12">
      <t>ウンエイヒ</t>
    </rPh>
    <phoneticPr fontId="6"/>
  </si>
  <si>
    <t>人権推進委託料150等</t>
    <rPh sb="0" eb="2">
      <t>ジンケン</t>
    </rPh>
    <rPh sb="2" eb="4">
      <t>スイシン</t>
    </rPh>
    <rPh sb="4" eb="6">
      <t>イタク</t>
    </rPh>
    <rPh sb="6" eb="7">
      <t>リョウ</t>
    </rPh>
    <rPh sb="10" eb="11">
      <t>トウ</t>
    </rPh>
    <phoneticPr fontId="4"/>
  </si>
  <si>
    <t>人権推進事業</t>
    <rPh sb="0" eb="6">
      <t>ジンケンスイシンジギョウ</t>
    </rPh>
    <phoneticPr fontId="4"/>
  </si>
  <si>
    <t>住民情報電算委託料154,000、市税電算委託料229,000、システム標準化業務委託料420,000等</t>
    <rPh sb="0" eb="2">
      <t>ジュウミン</t>
    </rPh>
    <rPh sb="2" eb="4">
      <t>ジョウホウ</t>
    </rPh>
    <rPh sb="4" eb="6">
      <t>デンサン</t>
    </rPh>
    <rPh sb="6" eb="9">
      <t>イタクリョウ</t>
    </rPh>
    <rPh sb="17" eb="19">
      <t>シゼイ</t>
    </rPh>
    <rPh sb="19" eb="21">
      <t>デンサン</t>
    </rPh>
    <rPh sb="21" eb="24">
      <t>イタクリョウ</t>
    </rPh>
    <rPh sb="36" eb="38">
      <t>ヒョウジュン</t>
    </rPh>
    <rPh sb="38" eb="39">
      <t>カ</t>
    </rPh>
    <rPh sb="39" eb="41">
      <t>ギョウム</t>
    </rPh>
    <rPh sb="41" eb="44">
      <t>イタクリョウ</t>
    </rPh>
    <rPh sb="51" eb="52">
      <t>トウ</t>
    </rPh>
    <phoneticPr fontId="4"/>
  </si>
  <si>
    <t>電算運用事業</t>
    <phoneticPr fontId="4"/>
  </si>
  <si>
    <r>
      <t xml:space="preserve">シティプロモーション推進事業委託料17,000等
</t>
    </r>
    <r>
      <rPr>
        <b/>
        <sz val="9"/>
        <rFont val="BIZ UDゴシック"/>
        <family val="3"/>
        <charset val="128"/>
      </rPr>
      <t>【今年度の取組】</t>
    </r>
    <r>
      <rPr>
        <sz val="9"/>
        <rFont val="BIZ UDゴシック"/>
        <family val="3"/>
        <charset val="128"/>
      </rPr>
      <t xml:space="preserve">
越谷市シティプロモーションアクションプランに基づき、越谷らしさを的確に表現したブランドメッセージ等を制作し、市内外へ発信をすることで、市民の郷土愛の醸成及び定住の促進を図る。</t>
    </r>
    <rPh sb="10" eb="17">
      <t>スイシンジギョウイタクリョウ</t>
    </rPh>
    <rPh sb="23" eb="24">
      <t>トウ</t>
    </rPh>
    <rPh sb="82" eb="83">
      <t>トウ</t>
    </rPh>
    <phoneticPr fontId="4"/>
  </si>
  <si>
    <t>シティプロモーション推進事業</t>
    <rPh sb="10" eb="12">
      <t>スイシン</t>
    </rPh>
    <rPh sb="12" eb="14">
      <t>ジギョウ</t>
    </rPh>
    <phoneticPr fontId="4"/>
  </si>
  <si>
    <t>コミュニティプラザ施設維持管理等業務委託料455,000、修繕料44,000、設備更新工事費168,000等</t>
    <rPh sb="9" eb="11">
      <t>シセツ</t>
    </rPh>
    <rPh sb="29" eb="32">
      <t>シュウゼンリョウ</t>
    </rPh>
    <rPh sb="39" eb="46">
      <t>セツビコウシンコウジヒ</t>
    </rPh>
    <rPh sb="53" eb="54">
      <t>トウ</t>
    </rPh>
    <phoneticPr fontId="4"/>
  </si>
  <si>
    <t>南越谷駅・新越谷駅周辺地域にぎわい創出事業</t>
    <rPh sb="0" eb="1">
      <t>ミナミ</t>
    </rPh>
    <rPh sb="1" eb="3">
      <t>コシガヤ</t>
    </rPh>
    <rPh sb="3" eb="4">
      <t>エキ</t>
    </rPh>
    <rPh sb="5" eb="6">
      <t>シン</t>
    </rPh>
    <rPh sb="6" eb="8">
      <t>コシガヤ</t>
    </rPh>
    <rPh sb="8" eb="9">
      <t>エキ</t>
    </rPh>
    <rPh sb="9" eb="11">
      <t>シュウヘン</t>
    </rPh>
    <rPh sb="11" eb="13">
      <t>チイキ</t>
    </rPh>
    <rPh sb="17" eb="19">
      <t>ソウシュツ</t>
    </rPh>
    <rPh sb="19" eb="21">
      <t>ジギョウ</t>
    </rPh>
    <phoneticPr fontId="4"/>
  </si>
  <si>
    <t>報償費220、講師等謝礼170、総合振興計画策定支援業務委託料28,000等</t>
    <rPh sb="0" eb="3">
      <t>ホウショウヒ</t>
    </rPh>
    <rPh sb="7" eb="12">
      <t>コウシトウシャレイ</t>
    </rPh>
    <rPh sb="16" eb="26">
      <t>ソウゴウシンコウケイカクサクテイシエン</t>
    </rPh>
    <rPh sb="26" eb="28">
      <t>ギョウム</t>
    </rPh>
    <rPh sb="28" eb="31">
      <t>イタクリョウ</t>
    </rPh>
    <rPh sb="37" eb="38">
      <t>トウ</t>
    </rPh>
    <phoneticPr fontId="4"/>
  </si>
  <si>
    <t>総合振興計画策定事業</t>
    <rPh sb="0" eb="10">
      <t>ソウゴウシンコウケイカクサクテイジギョウ</t>
    </rPh>
    <phoneticPr fontId="4"/>
  </si>
  <si>
    <t>埼玉県東南部都市連絡調整会議負担金12,820等</t>
    <rPh sb="0" eb="3">
      <t>サイタマケン</t>
    </rPh>
    <rPh sb="3" eb="6">
      <t>トウナンブ</t>
    </rPh>
    <rPh sb="6" eb="8">
      <t>トシ</t>
    </rPh>
    <rPh sb="8" eb="10">
      <t>レンラク</t>
    </rPh>
    <rPh sb="10" eb="12">
      <t>チョウセイ</t>
    </rPh>
    <rPh sb="12" eb="14">
      <t>カイギ</t>
    </rPh>
    <rPh sb="14" eb="17">
      <t>フタンキン</t>
    </rPh>
    <rPh sb="23" eb="24">
      <t>トウ</t>
    </rPh>
    <phoneticPr fontId="4"/>
  </si>
  <si>
    <t>総合企画調整事務費</t>
    <rPh sb="0" eb="2">
      <t>ソウゴウ</t>
    </rPh>
    <rPh sb="2" eb="4">
      <t>キカク</t>
    </rPh>
    <rPh sb="4" eb="6">
      <t>チョウセイ</t>
    </rPh>
    <rPh sb="6" eb="8">
      <t>ジム</t>
    </rPh>
    <rPh sb="8" eb="9">
      <t>ヒ</t>
    </rPh>
    <phoneticPr fontId="4"/>
  </si>
  <si>
    <t>公共施設マネジメント計画策定支援業務委託料5,600、公共施設マネジメントシステム電算委託料1,640</t>
    <rPh sb="0" eb="4">
      <t>コウキョウシセツ</t>
    </rPh>
    <rPh sb="10" eb="16">
      <t>ケイカクサクテイシエン</t>
    </rPh>
    <rPh sb="16" eb="21">
      <t>ギョウムイタクリョウ</t>
    </rPh>
    <rPh sb="43" eb="46">
      <t>イタクリョウ</t>
    </rPh>
    <phoneticPr fontId="4"/>
  </si>
  <si>
    <t>公共施設等総合管理事業</t>
    <rPh sb="0" eb="2">
      <t>コウキョウ</t>
    </rPh>
    <rPh sb="2" eb="5">
      <t>シセツトウ</t>
    </rPh>
    <rPh sb="5" eb="7">
      <t>ソウゴウ</t>
    </rPh>
    <rPh sb="7" eb="9">
      <t>カンリ</t>
    </rPh>
    <rPh sb="9" eb="11">
      <t>ジギョウ</t>
    </rPh>
    <phoneticPr fontId="4"/>
  </si>
  <si>
    <t>修繕料700、賠償補償保険料9,000、測量委託料900、不動産鑑定委託料500等</t>
    <rPh sb="0" eb="2">
      <t>シュウゼン</t>
    </rPh>
    <rPh sb="2" eb="3">
      <t>リョウ</t>
    </rPh>
    <rPh sb="20" eb="22">
      <t>ソクリョウ</t>
    </rPh>
    <rPh sb="22" eb="24">
      <t>イタク</t>
    </rPh>
    <rPh sb="24" eb="25">
      <t>リョウ</t>
    </rPh>
    <rPh sb="29" eb="32">
      <t>フドウサン</t>
    </rPh>
    <rPh sb="32" eb="34">
      <t>カンテイ</t>
    </rPh>
    <rPh sb="34" eb="36">
      <t>イタク</t>
    </rPh>
    <rPh sb="36" eb="37">
      <t>リョウ</t>
    </rPh>
    <rPh sb="40" eb="41">
      <t>トウ</t>
    </rPh>
    <phoneticPr fontId="4"/>
  </si>
  <si>
    <t>公有財産管理費</t>
    <rPh sb="0" eb="2">
      <t>コウユウ</t>
    </rPh>
    <rPh sb="2" eb="4">
      <t>ザイサン</t>
    </rPh>
    <rPh sb="4" eb="6">
      <t>カンリ</t>
    </rPh>
    <rPh sb="6" eb="7">
      <t>ヒ</t>
    </rPh>
    <phoneticPr fontId="4"/>
  </si>
  <si>
    <t>放送料5,400、テレビ広報番組制作等委託料5,400、ホームページシステム保守管理等委託料15,500</t>
    <rPh sb="0" eb="2">
      <t>ホウソウ</t>
    </rPh>
    <rPh sb="2" eb="3">
      <t>リョウ</t>
    </rPh>
    <rPh sb="12" eb="14">
      <t>コウホウ</t>
    </rPh>
    <rPh sb="14" eb="16">
      <t>バングミ</t>
    </rPh>
    <rPh sb="16" eb="18">
      <t>セイサク</t>
    </rPh>
    <rPh sb="18" eb="19">
      <t>トウ</t>
    </rPh>
    <rPh sb="19" eb="21">
      <t>イタク</t>
    </rPh>
    <rPh sb="21" eb="22">
      <t>リョウ</t>
    </rPh>
    <rPh sb="38" eb="40">
      <t>ホシュ</t>
    </rPh>
    <rPh sb="40" eb="42">
      <t>カンリ</t>
    </rPh>
    <rPh sb="42" eb="43">
      <t>トウ</t>
    </rPh>
    <rPh sb="43" eb="45">
      <t>イタク</t>
    </rPh>
    <rPh sb="45" eb="46">
      <t>リョウ</t>
    </rPh>
    <phoneticPr fontId="4"/>
  </si>
  <si>
    <t>ホームページ等広報事業</t>
    <rPh sb="6" eb="7">
      <t>ナド</t>
    </rPh>
    <rPh sb="7" eb="9">
      <t>コウホウ</t>
    </rPh>
    <rPh sb="9" eb="11">
      <t>ジギョウ</t>
    </rPh>
    <phoneticPr fontId="4"/>
  </si>
  <si>
    <t>印刷製本費37,600、発送業務委託料450等</t>
    <rPh sb="0" eb="2">
      <t>インサツ</t>
    </rPh>
    <rPh sb="2" eb="4">
      <t>セイホン</t>
    </rPh>
    <rPh sb="4" eb="5">
      <t>ヒ</t>
    </rPh>
    <rPh sb="12" eb="14">
      <t>ハッソウ</t>
    </rPh>
    <rPh sb="14" eb="16">
      <t>ギョウム</t>
    </rPh>
    <rPh sb="16" eb="18">
      <t>イタク</t>
    </rPh>
    <rPh sb="18" eb="19">
      <t>リョウ</t>
    </rPh>
    <rPh sb="22" eb="23">
      <t>トウ</t>
    </rPh>
    <phoneticPr fontId="4"/>
  </si>
  <si>
    <t>広報紙発行事業</t>
    <rPh sb="0" eb="3">
      <t>コウホウシ</t>
    </rPh>
    <rPh sb="3" eb="7">
      <t>ハッコウジギョウ</t>
    </rPh>
    <phoneticPr fontId="4"/>
  </si>
  <si>
    <r>
      <t xml:space="preserve">採用試験委託料5,800、職員採用管理システム委託料1,000
</t>
    </r>
    <r>
      <rPr>
        <b/>
        <sz val="9"/>
        <rFont val="BIZ UDゴシック"/>
        <family val="3"/>
        <charset val="128"/>
      </rPr>
      <t>【今年度の取組】</t>
    </r>
    <r>
      <rPr>
        <sz val="9"/>
        <rFont val="BIZ UDゴシック"/>
        <family val="3"/>
        <charset val="128"/>
      </rPr>
      <t xml:space="preserve">
事務（大学卒）の試験に加え事務（民間経験者）についてもテストセンター方式を導入する。</t>
    </r>
    <rPh sb="0" eb="7">
      <t>サイヨウシケンイタクリョウ</t>
    </rPh>
    <rPh sb="13" eb="19">
      <t>ショクインサイヨウカンリ</t>
    </rPh>
    <rPh sb="23" eb="26">
      <t>イタクリョウ</t>
    </rPh>
    <rPh sb="33" eb="36">
      <t>コンネンド</t>
    </rPh>
    <rPh sb="37" eb="39">
      <t>トリクミ</t>
    </rPh>
    <rPh sb="41" eb="43">
      <t>ジム</t>
    </rPh>
    <rPh sb="44" eb="47">
      <t>ダイガクソツ</t>
    </rPh>
    <rPh sb="49" eb="51">
      <t>シケン</t>
    </rPh>
    <rPh sb="52" eb="53">
      <t>クワ</t>
    </rPh>
    <rPh sb="54" eb="56">
      <t>ジム</t>
    </rPh>
    <rPh sb="57" eb="61">
      <t>ミンカンケイケン</t>
    </rPh>
    <rPh sb="61" eb="62">
      <t>シャ</t>
    </rPh>
    <rPh sb="75" eb="77">
      <t>ホウシキ</t>
    </rPh>
    <rPh sb="78" eb="80">
      <t>ドウニュウ</t>
    </rPh>
    <phoneticPr fontId="4"/>
  </si>
  <si>
    <t>職員採用費</t>
    <rPh sb="0" eb="5">
      <t>ショクインサイヨウヒ</t>
    </rPh>
    <phoneticPr fontId="4"/>
  </si>
  <si>
    <t>包括外部監査委託料</t>
    <rPh sb="0" eb="2">
      <t>ホウカツ</t>
    </rPh>
    <rPh sb="2" eb="4">
      <t>ガイブ</t>
    </rPh>
    <rPh sb="4" eb="6">
      <t>カンサ</t>
    </rPh>
    <rPh sb="6" eb="9">
      <t>イタクリョウ</t>
    </rPh>
    <phoneticPr fontId="4"/>
  </si>
  <si>
    <t>外部監査事業</t>
    <rPh sb="0" eb="2">
      <t>ガイブ</t>
    </rPh>
    <rPh sb="2" eb="4">
      <t>カンサ</t>
    </rPh>
    <rPh sb="4" eb="6">
      <t>ジギョウ</t>
    </rPh>
    <phoneticPr fontId="4"/>
  </si>
  <si>
    <t>特別旅費1,340、平和展委託料2,000等</t>
    <rPh sb="10" eb="12">
      <t>ヘイワ</t>
    </rPh>
    <rPh sb="12" eb="13">
      <t>テン</t>
    </rPh>
    <rPh sb="13" eb="15">
      <t>イタク</t>
    </rPh>
    <rPh sb="15" eb="16">
      <t>リョウ</t>
    </rPh>
    <rPh sb="21" eb="22">
      <t>トウ</t>
    </rPh>
    <phoneticPr fontId="4"/>
  </si>
  <si>
    <t>平和事業費</t>
    <rPh sb="0" eb="2">
      <t>ヘイワ</t>
    </rPh>
    <rPh sb="2" eb="4">
      <t>ジギョウ</t>
    </rPh>
    <rPh sb="4" eb="5">
      <t>ヒ</t>
    </rPh>
    <phoneticPr fontId="4"/>
  </si>
  <si>
    <t>総務費　</t>
    <rPh sb="0" eb="2">
      <t>ソウム</t>
    </rPh>
    <rPh sb="2" eb="3">
      <t>ヒ</t>
    </rPh>
    <phoneticPr fontId="4"/>
  </si>
  <si>
    <t>政務活動費</t>
    <rPh sb="0" eb="2">
      <t>セイム</t>
    </rPh>
    <rPh sb="2" eb="4">
      <t>カツドウ</t>
    </rPh>
    <rPh sb="4" eb="5">
      <t>ヒ</t>
    </rPh>
    <phoneticPr fontId="4"/>
  </si>
  <si>
    <t>印刷製本費4,200、会議録検索システム委託料1,800、議会中継システム委託料2,300等</t>
    <rPh sb="0" eb="2">
      <t>インサツ</t>
    </rPh>
    <rPh sb="2" eb="4">
      <t>セイホン</t>
    </rPh>
    <rPh sb="4" eb="5">
      <t>ヒ</t>
    </rPh>
    <rPh sb="45" eb="46">
      <t>チュウトウ</t>
    </rPh>
    <phoneticPr fontId="4"/>
  </si>
  <si>
    <t>広報活動費</t>
    <rPh sb="0" eb="2">
      <t>コウホウ</t>
    </rPh>
    <rPh sb="2" eb="4">
      <t>カツドウ</t>
    </rPh>
    <rPh sb="4" eb="5">
      <t>ヒ</t>
    </rPh>
    <phoneticPr fontId="4"/>
  </si>
  <si>
    <t>議員報酬221,980、議員期末手当100,160、議員共済給付費負担金65,260等</t>
    <rPh sb="12" eb="14">
      <t>ギイン</t>
    </rPh>
    <rPh sb="14" eb="16">
      <t>キマツ</t>
    </rPh>
    <rPh sb="16" eb="18">
      <t>テアテ</t>
    </rPh>
    <rPh sb="42" eb="43">
      <t>トウ</t>
    </rPh>
    <phoneticPr fontId="4"/>
  </si>
  <si>
    <t>議会費　</t>
    <rPh sb="0" eb="2">
      <t>ギカイ</t>
    </rPh>
    <rPh sb="2" eb="3">
      <t>ヒ</t>
    </rPh>
    <phoneticPr fontId="4"/>
  </si>
  <si>
    <t>市債</t>
    <rPh sb="0" eb="2">
      <t>シサイ</t>
    </rPh>
    <phoneticPr fontId="6"/>
  </si>
  <si>
    <t>県</t>
    <rPh sb="0" eb="1">
      <t>ケン</t>
    </rPh>
    <phoneticPr fontId="6"/>
  </si>
  <si>
    <t>国</t>
    <rPh sb="0" eb="1">
      <t>クニ</t>
    </rPh>
    <phoneticPr fontId="6"/>
  </si>
  <si>
    <t>事業費</t>
    <rPh sb="0" eb="3">
      <t>ジギョウヒ</t>
    </rPh>
    <phoneticPr fontId="6"/>
  </si>
  <si>
    <t>特 　定 　財　 源</t>
    <rPh sb="0" eb="1">
      <t>トク</t>
    </rPh>
    <rPh sb="3" eb="4">
      <t>サダム</t>
    </rPh>
    <rPh sb="6" eb="7">
      <t>ザイ</t>
    </rPh>
    <rPh sb="9" eb="10">
      <t>ミナモト</t>
    </rPh>
    <phoneticPr fontId="6"/>
  </si>
  <si>
    <t>細節名等</t>
    <rPh sb="0" eb="2">
      <t>サイセツ</t>
    </rPh>
    <rPh sb="2" eb="3">
      <t>メイ</t>
    </rPh>
    <rPh sb="3" eb="4">
      <t>トウ</t>
    </rPh>
    <phoneticPr fontId="4"/>
  </si>
  <si>
    <t>（歳出）</t>
    <rPh sb="1" eb="3">
      <t>サイシュツ</t>
    </rPh>
    <phoneticPr fontId="6"/>
  </si>
  <si>
    <t>款</t>
    <rPh sb="0" eb="1">
      <t>カン</t>
    </rPh>
    <phoneticPr fontId="4"/>
  </si>
  <si>
    <t>起債の目的</t>
    <phoneticPr fontId="1"/>
  </si>
  <si>
    <t>限度額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</si>
</sst>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quot;△ &quot;#,##0"/>
    <numFmt numFmtId="177" formatCode="#,##0;&quot;▲ &quot;#,##0"/>
    <numFmt numFmtId="178" formatCode="#,##0.0;&quot;△ &quot;#,##0.0"/>
    <numFmt numFmtId="179" formatCode="#,##0.0000;&quot;△ &quot;#,##0.0000"/>
    <numFmt numFmtId="180" formatCode="#,##0.00000;&quot;△ &quot;#,##0.00000"/>
    <numFmt numFmtId="181" formatCode="0.0%"/>
    <numFmt numFmtId="182" formatCode="#,##0.0;&quot;▲ &quot;#,##0.0"/>
    <numFmt numFmtId="183" formatCode="#,##0.0\ ;&quot;▲ &quot;#,##0.0\ "/>
    <numFmt numFmtId="184" formatCode="0.0_);[Red]\(0.0\)"/>
    <numFmt numFmtId="185" formatCode="0.0_ "/>
    <numFmt numFmtId="186" formatCode="#,##0.0%;&quot;▲ &quot;#,##0.0%"/>
    <numFmt numFmtId="187" formatCode="#,##0_);\(#,##0\)"/>
    <numFmt numFmtId="188" formatCode="\+\ #,##0;&quot;▲ &quot;#,##0"/>
    <numFmt numFmtId="189" formatCode="#,##0_ "/>
    <numFmt numFmtId="190" formatCode="0.000"/>
    <numFmt numFmtId="191" formatCode="#,##0.00;&quot;▲ &quot;#,##0.00"/>
    <numFmt numFmtId="192" formatCode="0.0000"/>
    <numFmt numFmtId="193" formatCode="0.000_ "/>
    <numFmt numFmtId="194" formatCode="0.00000"/>
    <numFmt numFmtId="195" formatCode="\+0.0;&quot;▲ &quot;0.0"/>
    <numFmt numFmtId="196" formatCode="0.000000_ "/>
    <numFmt numFmtId="197" formatCode="0.0"/>
  </numFmts>
  <fonts count="82">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ゴシック"/>
      <family val="3"/>
      <charset val="128"/>
    </font>
    <font>
      <sz val="10"/>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9"/>
      <color indexed="10"/>
      <name val="ＭＳ Ｐゴシック"/>
      <family val="3"/>
      <charset val="128"/>
    </font>
    <font>
      <sz val="9"/>
      <color indexed="12"/>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9"/>
      <name val="ＭＳ Ｐゴシック"/>
      <family val="3"/>
      <charset val="128"/>
    </font>
    <font>
      <sz val="8"/>
      <name val="ＭＳ 明朝"/>
      <family val="1"/>
      <charset val="128"/>
    </font>
    <font>
      <sz val="9"/>
      <color indexed="39"/>
      <name val="ＭＳ Ｐゴシック"/>
      <family val="3"/>
      <charset val="128"/>
    </font>
    <font>
      <b/>
      <sz val="16"/>
      <name val="BIZ UDゴシック"/>
      <family val="3"/>
      <charset val="128"/>
    </font>
    <font>
      <sz val="14"/>
      <name val="BIZ UDゴシック"/>
      <family val="3"/>
      <charset val="128"/>
    </font>
    <font>
      <sz val="12"/>
      <name val="BIZ UDゴシック"/>
      <family val="3"/>
      <charset val="128"/>
    </font>
    <font>
      <b/>
      <sz val="14"/>
      <name val="BIZ UDゴシック"/>
      <family val="3"/>
      <charset val="128"/>
    </font>
    <font>
      <b/>
      <sz val="11"/>
      <name val="BIZ UDゴシック"/>
      <family val="3"/>
      <charset val="128"/>
    </font>
    <font>
      <sz val="9"/>
      <name val="BIZ UDゴシック"/>
      <family val="3"/>
      <charset val="128"/>
    </font>
    <font>
      <sz val="18"/>
      <name val="BIZ UDゴシック"/>
      <family val="3"/>
      <charset val="128"/>
    </font>
    <font>
      <sz val="10"/>
      <name val="BIZ UDゴシック"/>
      <family val="3"/>
      <charset val="128"/>
    </font>
    <font>
      <sz val="11"/>
      <name val="BIZ UDゴシック"/>
      <family val="3"/>
      <charset val="128"/>
    </font>
    <font>
      <sz val="11"/>
      <color rgb="FFFF0000"/>
      <name val="BIZ UDゴシック"/>
      <family val="3"/>
      <charset val="128"/>
    </font>
    <font>
      <sz val="11"/>
      <color rgb="FF002060"/>
      <name val="BIZ UDゴシック"/>
      <family val="3"/>
      <charset val="128"/>
    </font>
    <font>
      <b/>
      <sz val="11"/>
      <color rgb="FFFF0000"/>
      <name val="BIZ UDゴシック"/>
      <family val="3"/>
      <charset val="128"/>
    </font>
    <font>
      <sz val="12"/>
      <color rgb="FF002060"/>
      <name val="BIZ UDゴシック"/>
      <family val="3"/>
      <charset val="128"/>
    </font>
    <font>
      <b/>
      <sz val="11"/>
      <color rgb="FF002060"/>
      <name val="BIZ UDゴシック"/>
      <family val="3"/>
      <charset val="128"/>
    </font>
    <font>
      <i/>
      <sz val="12"/>
      <name val="BIZ UDゴシック"/>
      <family val="3"/>
      <charset val="128"/>
    </font>
    <font>
      <sz val="11"/>
      <color rgb="FF0066CC"/>
      <name val="BIZ UDゴシック"/>
      <family val="3"/>
      <charset val="128"/>
    </font>
    <font>
      <sz val="10.5"/>
      <name val="BIZ UDゴシック"/>
      <family val="3"/>
      <charset val="128"/>
    </font>
    <font>
      <sz val="10.5"/>
      <color theme="1"/>
      <name val="BIZ UDゴシック"/>
      <family val="3"/>
      <charset val="128"/>
    </font>
    <font>
      <b/>
      <sz val="9"/>
      <color indexed="81"/>
      <name val="MS P ゴシック"/>
      <family val="3"/>
      <charset val="128"/>
    </font>
    <font>
      <sz val="11"/>
      <color rgb="FFFF0000"/>
      <name val="ＭＳ Ｐゴシック"/>
      <family val="3"/>
      <charset val="128"/>
    </font>
    <font>
      <sz val="12"/>
      <color rgb="FF558ED5"/>
      <name val="BIZ UDゴシック"/>
      <family val="3"/>
      <charset val="128"/>
    </font>
    <font>
      <sz val="9"/>
      <color rgb="FF558ED5"/>
      <name val="BIZ UDゴシック"/>
      <family val="3"/>
      <charset val="128"/>
    </font>
    <font>
      <sz val="9"/>
      <color indexed="48"/>
      <name val="ＭＳ Ｐゴシック"/>
      <family val="3"/>
      <charset val="128"/>
    </font>
    <font>
      <sz val="11"/>
      <color rgb="FF558ED5"/>
      <name val="BIZ UDゴシック"/>
      <family val="3"/>
      <charset val="128"/>
    </font>
    <font>
      <sz val="14"/>
      <color rgb="FF558ED5"/>
      <name val="BIZ UDゴシック"/>
      <family val="3"/>
      <charset val="128"/>
    </font>
    <font>
      <sz val="11"/>
      <color rgb="FF558ED5"/>
      <name val="ＭＳ Ｐゴシック"/>
      <family val="3"/>
      <charset val="128"/>
    </font>
    <font>
      <sz val="12"/>
      <color rgb="FFFF0000"/>
      <name val="BIZ UDゴシック"/>
      <family val="3"/>
      <charset val="128"/>
    </font>
    <font>
      <sz val="8"/>
      <color rgb="FFFF0000"/>
      <name val="BIZ UDゴシック"/>
      <family val="3"/>
      <charset val="128"/>
    </font>
    <font>
      <sz val="11"/>
      <color rgb="FFFF0000"/>
      <name val="ＭＳ ゴシック"/>
      <family val="3"/>
      <charset val="128"/>
    </font>
    <font>
      <sz val="14"/>
      <color rgb="FFFF0000"/>
      <name val="BIZ UDゴシック"/>
      <family val="3"/>
      <charset val="128"/>
    </font>
    <font>
      <sz val="11"/>
      <color theme="1"/>
      <name val="ＭＳ 明朝"/>
      <family val="1"/>
      <charset val="128"/>
    </font>
    <font>
      <sz val="10.5"/>
      <color rgb="FFFF0000"/>
      <name val="BIZ UDゴシック"/>
      <family val="3"/>
      <charset val="128"/>
    </font>
    <font>
      <sz val="10"/>
      <color rgb="FFFF0000"/>
      <name val="BIZ UDゴシック"/>
      <family val="3"/>
      <charset val="128"/>
    </font>
    <font>
      <sz val="9"/>
      <color rgb="FFFF0000"/>
      <name val="BIZ UDゴシック"/>
      <family val="3"/>
      <charset val="128"/>
    </font>
    <font>
      <sz val="20"/>
      <color indexed="9"/>
      <name val="BIZ UDゴシック"/>
      <family val="3"/>
      <charset val="128"/>
    </font>
    <font>
      <sz val="8"/>
      <name val="BIZ UDゴシック"/>
      <family val="3"/>
      <charset val="128"/>
    </font>
    <font>
      <sz val="11"/>
      <color rgb="FF0070C0"/>
      <name val="BIZ UDゴシック"/>
      <family val="3"/>
      <charset val="128"/>
    </font>
    <font>
      <sz val="9"/>
      <color indexed="12"/>
      <name val="ＭＳ ゴシック"/>
      <family val="3"/>
      <charset val="128"/>
    </font>
    <font>
      <sz val="9"/>
      <color indexed="10"/>
      <name val="ＭＳ ゴシック"/>
      <family val="3"/>
      <charset val="128"/>
    </font>
    <font>
      <sz val="9"/>
      <color indexed="81"/>
      <name val="MS P ゴシック"/>
      <family val="3"/>
      <charset val="128"/>
    </font>
    <font>
      <b/>
      <sz val="18"/>
      <color rgb="FFFF0000"/>
      <name val="BIZ UDゴシック"/>
      <family val="3"/>
      <charset val="128"/>
    </font>
    <font>
      <sz val="11"/>
      <color theme="0"/>
      <name val="BIZ UDゴシック"/>
      <family val="3"/>
      <charset val="128"/>
    </font>
    <font>
      <sz val="9"/>
      <color theme="0"/>
      <name val="BIZ UDゴシック"/>
      <family val="3"/>
      <charset val="128"/>
    </font>
    <font>
      <sz val="6"/>
      <color theme="0"/>
      <name val="BIZ UDゴシック"/>
      <family val="3"/>
      <charset val="128"/>
    </font>
    <font>
      <sz val="8"/>
      <color theme="1"/>
      <name val="BIZ UDゴシック"/>
      <family val="3"/>
      <charset val="128"/>
    </font>
    <font>
      <sz val="8"/>
      <name val="ＭＳ ゴシック"/>
      <family val="3"/>
      <charset val="128"/>
    </font>
    <font>
      <b/>
      <sz val="10"/>
      <name val="BIZ UDゴシック"/>
      <family val="3"/>
      <charset val="128"/>
    </font>
    <font>
      <b/>
      <sz val="12"/>
      <name val="BIZ UDゴシック"/>
      <family val="3"/>
      <charset val="128"/>
    </font>
    <font>
      <sz val="6"/>
      <name val="BIZ UDゴシック"/>
      <family val="3"/>
      <charset val="128"/>
    </font>
    <font>
      <sz val="14"/>
      <color theme="0"/>
      <name val="BIZ UDゴシック"/>
      <family val="3"/>
      <charset val="128"/>
    </font>
    <font>
      <b/>
      <sz val="14"/>
      <color theme="0"/>
      <name val="BIZ UDゴシック"/>
      <family val="3"/>
      <charset val="128"/>
    </font>
    <font>
      <b/>
      <sz val="12"/>
      <color indexed="9"/>
      <name val="BIZ UDゴシック"/>
      <family val="3"/>
      <charset val="128"/>
    </font>
    <font>
      <sz val="9"/>
      <color theme="1"/>
      <name val="BIZ UDゴシック"/>
      <family val="3"/>
      <charset val="128"/>
    </font>
    <font>
      <b/>
      <sz val="9"/>
      <color theme="1"/>
      <name val="BIZ UDゴシック"/>
      <family val="3"/>
      <charset val="128"/>
    </font>
    <font>
      <b/>
      <sz val="8"/>
      <color indexed="9"/>
      <name val="BIZ UDゴシック"/>
      <family val="3"/>
      <charset val="128"/>
    </font>
    <font>
      <b/>
      <sz val="10"/>
      <color indexed="9"/>
      <name val="BIZ UDゴシック"/>
      <family val="3"/>
      <charset val="128"/>
    </font>
    <font>
      <sz val="10"/>
      <color theme="1"/>
      <name val="BIZ UDゴシック"/>
      <family val="3"/>
      <charset val="128"/>
    </font>
    <font>
      <b/>
      <sz val="9"/>
      <name val="BIZ UDゴシック"/>
      <family val="3"/>
      <charset val="128"/>
    </font>
    <font>
      <b/>
      <sz val="12"/>
      <color theme="0"/>
      <name val="BIZ UDゴシック"/>
      <family val="3"/>
      <charset val="128"/>
    </font>
    <font>
      <b/>
      <sz val="9"/>
      <color theme="0"/>
      <name val="BIZ UDゴシック"/>
      <family val="3"/>
      <charset val="128"/>
    </font>
    <font>
      <b/>
      <sz val="10"/>
      <color theme="0"/>
      <name val="BIZ UDゴシック"/>
      <family val="3"/>
      <charset val="128"/>
    </font>
    <font>
      <b/>
      <sz val="8"/>
      <color theme="0"/>
      <name val="BIZ UDゴシック"/>
      <family val="3"/>
      <charset val="128"/>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48"/>
        <bgColor indexed="64"/>
      </patternFill>
    </fill>
    <fill>
      <patternFill patternType="solid">
        <fgColor theme="0"/>
        <bgColor indexed="64"/>
      </patternFill>
    </fill>
    <fill>
      <patternFill patternType="solid">
        <fgColor rgb="FF3366FF"/>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2"/>
        <bgColor indexed="64"/>
      </patternFill>
    </fill>
    <fill>
      <patternFill patternType="solid">
        <fgColor indexed="8"/>
        <bgColor indexed="64"/>
      </patternFill>
    </fill>
    <fill>
      <patternFill patternType="solid">
        <fgColor theme="1"/>
        <bgColor indexed="64"/>
      </patternFill>
    </fill>
  </fills>
  <borders count="133">
    <border>
      <left/>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9"/>
      </left>
      <right style="thin">
        <color indexed="9"/>
      </right>
      <top style="thin">
        <color indexed="9"/>
      </top>
      <bottom style="thin">
        <color indexed="9"/>
      </bottom>
      <diagonal/>
    </border>
    <border diagonalDown="1">
      <left style="thin">
        <color indexed="9"/>
      </left>
      <right/>
      <top style="thin">
        <color indexed="9"/>
      </top>
      <bottom/>
      <diagonal style="thin">
        <color indexed="9"/>
      </diagonal>
    </border>
    <border diagonalDown="1">
      <left/>
      <right/>
      <top style="thin">
        <color indexed="9"/>
      </top>
      <bottom/>
      <diagonal style="thin">
        <color indexed="9"/>
      </diagonal>
    </border>
    <border diagonalDown="1">
      <left/>
      <right style="thin">
        <color indexed="9"/>
      </right>
      <top style="thin">
        <color indexed="9"/>
      </top>
      <bottom/>
      <diagonal style="thin">
        <color indexed="9"/>
      </diagonal>
    </border>
    <border diagonalDown="1">
      <left style="thin">
        <color indexed="9"/>
      </left>
      <right/>
      <top/>
      <bottom style="thin">
        <color indexed="9"/>
      </bottom>
      <diagonal style="thin">
        <color indexed="9"/>
      </diagonal>
    </border>
    <border diagonalDown="1">
      <left/>
      <right/>
      <top/>
      <bottom style="thin">
        <color indexed="9"/>
      </bottom>
      <diagonal style="thin">
        <color indexed="9"/>
      </diagonal>
    </border>
    <border diagonalDown="1">
      <left/>
      <right style="thin">
        <color indexed="9"/>
      </right>
      <top/>
      <bottom style="thin">
        <color indexed="9"/>
      </bottom>
      <diagonal style="thin">
        <color indexed="9"/>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medium">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thin">
        <color indexed="64"/>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tted">
        <color indexed="64"/>
      </bottom>
      <diagonal/>
    </border>
    <border>
      <left style="medium">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double">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dotted">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thin">
        <color indexed="64"/>
      </left>
      <right/>
      <top style="dotted">
        <color indexed="64"/>
      </top>
      <bottom style="double">
        <color indexed="64"/>
      </bottom>
      <diagonal/>
    </border>
    <border>
      <left/>
      <right/>
      <top/>
      <bottom style="hair">
        <color rgb="FFFF0000"/>
      </bottom>
      <diagonal/>
    </border>
    <border>
      <left/>
      <right/>
      <top style="hair">
        <color rgb="FFFF0000"/>
      </top>
      <bottom style="hair">
        <color rgb="FFFF0000"/>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top style="thin">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uble">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right/>
      <top style="thin">
        <color indexed="9"/>
      </top>
      <bottom/>
      <diagonal/>
    </border>
    <border>
      <left/>
      <right style="thin">
        <color rgb="FFFF0000"/>
      </right>
      <top/>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top style="hair">
        <color rgb="FFFF0000"/>
      </top>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5">
    <xf numFmtId="0" fontId="0" fillId="0" borderId="0"/>
    <xf numFmtId="38" fontId="3" fillId="0" borderId="0" applyFont="0" applyFill="0" applyBorder="0" applyAlignment="0" applyProtection="0"/>
    <xf numFmtId="0" fontId="11" fillId="0" borderId="0"/>
    <xf numFmtId="0" fontId="11" fillId="0" borderId="0">
      <alignment vertical="center"/>
    </xf>
    <xf numFmtId="0" fontId="5" fillId="0" borderId="0"/>
    <xf numFmtId="0" fontId="11" fillId="0" borderId="0"/>
    <xf numFmtId="38" fontId="11" fillId="0" borderId="0" applyFont="0" applyFill="0" applyBorder="0" applyAlignment="0" applyProtection="0"/>
    <xf numFmtId="0" fontId="11" fillId="0" borderId="0"/>
    <xf numFmtId="0" fontId="2" fillId="0" borderId="0">
      <alignment vertical="center"/>
    </xf>
    <xf numFmtId="0" fontId="3" fillId="0" borderId="0"/>
    <xf numFmtId="38" fontId="3"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880">
    <xf numFmtId="0" fontId="0" fillId="0" borderId="0" xfId="0"/>
    <xf numFmtId="0" fontId="7" fillId="0" borderId="0" xfId="0" applyFont="1"/>
    <xf numFmtId="0" fontId="7" fillId="0" borderId="0" xfId="0" applyFont="1" applyAlignment="1">
      <alignment horizontal="center"/>
    </xf>
    <xf numFmtId="177" fontId="7" fillId="0" borderId="0" xfId="0" applyNumberFormat="1" applyFont="1"/>
    <xf numFmtId="0" fontId="7" fillId="0" borderId="0" xfId="0" applyFont="1" applyAlignment="1">
      <alignment vertical="center"/>
    </xf>
    <xf numFmtId="0" fontId="7" fillId="0" borderId="0" xfId="0" applyFont="1" applyFill="1"/>
    <xf numFmtId="0" fontId="8" fillId="0" borderId="22" xfId="0" applyFont="1" applyBorder="1" applyAlignment="1">
      <alignment horizontal="center" vertical="center" textRotation="255"/>
    </xf>
    <xf numFmtId="0" fontId="8" fillId="0" borderId="23" xfId="0" applyFont="1" applyBorder="1" applyAlignment="1">
      <alignment horizontal="center" vertical="center"/>
    </xf>
    <xf numFmtId="0" fontId="8" fillId="0" borderId="24" xfId="0" applyFont="1" applyBorder="1" applyAlignment="1">
      <alignment horizontal="center" vertical="center"/>
    </xf>
    <xf numFmtId="176" fontId="8" fillId="0" borderId="25" xfId="0" applyNumberFormat="1" applyFont="1" applyBorder="1" applyAlignment="1" applyProtection="1">
      <alignment vertical="center"/>
      <protection locked="0"/>
    </xf>
    <xf numFmtId="178" fontId="8" fillId="0" borderId="25" xfId="0" applyNumberFormat="1" applyFont="1" applyBorder="1" applyAlignment="1">
      <alignment vertical="center"/>
    </xf>
    <xf numFmtId="176" fontId="8" fillId="0" borderId="27" xfId="0" applyNumberFormat="1" applyFont="1" applyBorder="1" applyAlignment="1" applyProtection="1">
      <alignment vertical="center"/>
      <protection locked="0"/>
    </xf>
    <xf numFmtId="178" fontId="8" fillId="0" borderId="27" xfId="0" applyNumberFormat="1" applyFont="1" applyBorder="1" applyAlignment="1">
      <alignment vertical="center"/>
    </xf>
    <xf numFmtId="176" fontId="8" fillId="4" borderId="29" xfId="0" applyNumberFormat="1" applyFont="1" applyFill="1" applyBorder="1" applyAlignment="1" applyProtection="1">
      <alignment vertical="center"/>
      <protection locked="0"/>
    </xf>
    <xf numFmtId="0" fontId="8" fillId="4" borderId="29" xfId="0" applyNumberFormat="1" applyFont="1" applyFill="1" applyBorder="1" applyAlignment="1" applyProtection="1">
      <alignment vertical="center"/>
      <protection locked="0"/>
    </xf>
    <xf numFmtId="0" fontId="8" fillId="0" borderId="31" xfId="0" applyFont="1" applyBorder="1" applyAlignment="1">
      <alignment vertical="center"/>
    </xf>
    <xf numFmtId="0" fontId="8" fillId="0" borderId="0" xfId="0" applyFont="1" applyBorder="1" applyAlignment="1">
      <alignment vertical="center"/>
    </xf>
    <xf numFmtId="0" fontId="7" fillId="0" borderId="31" xfId="0" applyFont="1" applyBorder="1" applyAlignment="1">
      <alignment vertical="center"/>
    </xf>
    <xf numFmtId="0" fontId="7" fillId="0" borderId="0" xfId="0" applyFont="1" applyBorder="1" applyAlignment="1">
      <alignment vertical="center"/>
    </xf>
    <xf numFmtId="0" fontId="8" fillId="0" borderId="27" xfId="0" applyFont="1" applyBorder="1" applyAlignment="1">
      <alignment horizontal="distributed" vertical="center"/>
    </xf>
    <xf numFmtId="0" fontId="8" fillId="0" borderId="27" xfId="0" applyFont="1" applyBorder="1" applyAlignment="1">
      <alignment horizontal="center" vertical="center" shrinkToFit="1"/>
    </xf>
    <xf numFmtId="0" fontId="8" fillId="0" borderId="33" xfId="0" applyFont="1" applyBorder="1" applyAlignment="1">
      <alignment horizontal="distributed" vertical="center"/>
    </xf>
    <xf numFmtId="176" fontId="8" fillId="0" borderId="33" xfId="0" applyNumberFormat="1" applyFont="1" applyBorder="1" applyAlignment="1" applyProtection="1">
      <alignment vertical="center"/>
      <protection locked="0"/>
    </xf>
    <xf numFmtId="178" fontId="8" fillId="0" borderId="33" xfId="0" applyNumberFormat="1" applyFont="1" applyBorder="1" applyAlignment="1">
      <alignment vertical="center"/>
    </xf>
    <xf numFmtId="0" fontId="7" fillId="0" borderId="3" xfId="0" applyFont="1" applyBorder="1" applyAlignment="1">
      <alignment horizontal="center" vertical="center"/>
    </xf>
    <xf numFmtId="176" fontId="8" fillId="4" borderId="35" xfId="0" applyNumberFormat="1" applyFont="1" applyFill="1" applyBorder="1" applyAlignment="1">
      <alignment vertical="center"/>
    </xf>
    <xf numFmtId="178" fontId="8" fillId="4" borderId="35" xfId="0" applyNumberFormat="1" applyFont="1" applyFill="1" applyBorder="1" applyAlignment="1">
      <alignment vertical="center"/>
    </xf>
    <xf numFmtId="181" fontId="7" fillId="0" borderId="3" xfId="0" applyNumberFormat="1" applyFont="1" applyBorder="1"/>
    <xf numFmtId="0" fontId="8" fillId="0" borderId="0" xfId="0" applyFont="1"/>
    <xf numFmtId="176" fontId="7" fillId="0" borderId="0" xfId="0" applyNumberFormat="1" applyFont="1"/>
    <xf numFmtId="178" fontId="7" fillId="0" borderId="0" xfId="0" applyNumberFormat="1" applyFont="1"/>
    <xf numFmtId="182" fontId="7" fillId="0" borderId="0" xfId="0" applyNumberFormat="1" applyFont="1"/>
    <xf numFmtId="176" fontId="8" fillId="0" borderId="27" xfId="0" applyNumberFormat="1" applyFont="1" applyBorder="1"/>
    <xf numFmtId="178" fontId="8" fillId="0" borderId="27" xfId="0" applyNumberFormat="1" applyFont="1" applyBorder="1"/>
    <xf numFmtId="176" fontId="8" fillId="4" borderId="29" xfId="0" applyNumberFormat="1" applyFont="1" applyFill="1" applyBorder="1"/>
    <xf numFmtId="178" fontId="8" fillId="4" borderId="29" xfId="0" applyNumberFormat="1" applyFont="1" applyFill="1" applyBorder="1"/>
    <xf numFmtId="0" fontId="8" fillId="0" borderId="31" xfId="0" applyFont="1" applyBorder="1" applyAlignment="1">
      <alignment vertical="distributed"/>
    </xf>
    <xf numFmtId="0" fontId="8" fillId="0" borderId="0" xfId="0" applyFont="1" applyBorder="1" applyAlignment="1">
      <alignment vertical="distributed"/>
    </xf>
    <xf numFmtId="176" fontId="8" fillId="0" borderId="22" xfId="0" applyNumberFormat="1" applyFont="1" applyBorder="1"/>
    <xf numFmtId="178" fontId="8" fillId="0" borderId="22" xfId="0" applyNumberFormat="1" applyFont="1" applyBorder="1"/>
    <xf numFmtId="176" fontId="8" fillId="4" borderId="37" xfId="0" applyNumberFormat="1" applyFont="1" applyFill="1" applyBorder="1"/>
    <xf numFmtId="178" fontId="8" fillId="4" borderId="37" xfId="0" applyNumberFormat="1" applyFont="1" applyFill="1" applyBorder="1"/>
    <xf numFmtId="176" fontId="8" fillId="0" borderId="39" xfId="0" applyNumberFormat="1" applyFont="1" applyBorder="1" applyAlignment="1" applyProtection="1">
      <alignment vertical="center"/>
      <protection locked="0"/>
    </xf>
    <xf numFmtId="178" fontId="8" fillId="0" borderId="40" xfId="0" applyNumberFormat="1" applyFont="1" applyBorder="1" applyAlignment="1">
      <alignment vertical="center"/>
    </xf>
    <xf numFmtId="0" fontId="8" fillId="0" borderId="41" xfId="0" applyFont="1" applyBorder="1" applyAlignment="1">
      <alignment horizontal="distributed" vertical="center"/>
    </xf>
    <xf numFmtId="178" fontId="8" fillId="0" borderId="42" xfId="0" applyNumberFormat="1" applyFont="1" applyBorder="1" applyAlignment="1">
      <alignment vertical="center"/>
    </xf>
    <xf numFmtId="176" fontId="8" fillId="0" borderId="27" xfId="0" applyNumberFormat="1" applyFont="1" applyBorder="1" applyAlignment="1" applyProtection="1">
      <alignment horizontal="right" vertical="center"/>
      <protection locked="0"/>
    </xf>
    <xf numFmtId="176" fontId="8" fillId="4" borderId="29" xfId="0" applyNumberFormat="1" applyFont="1" applyFill="1" applyBorder="1" applyAlignment="1" applyProtection="1">
      <alignment horizontal="right" vertical="center"/>
      <protection locked="0"/>
    </xf>
    <xf numFmtId="178" fontId="8" fillId="4" borderId="43" xfId="0" applyNumberFormat="1" applyFont="1" applyFill="1" applyBorder="1" applyAlignment="1">
      <alignment vertical="center"/>
    </xf>
    <xf numFmtId="0" fontId="8" fillId="0" borderId="0" xfId="0" applyFont="1" applyBorder="1" applyAlignment="1">
      <alignment horizontal="center" vertical="center" textRotation="255"/>
    </xf>
    <xf numFmtId="0" fontId="8" fillId="0" borderId="44" xfId="0" applyFont="1" applyBorder="1" applyAlignment="1">
      <alignment horizontal="distributed" vertical="center"/>
    </xf>
    <xf numFmtId="176" fontId="8" fillId="0" borderId="29" xfId="0" applyNumberFormat="1" applyFont="1" applyBorder="1" applyAlignment="1" applyProtection="1">
      <alignment vertical="center"/>
      <protection locked="0"/>
    </xf>
    <xf numFmtId="178" fontId="8" fillId="0" borderId="43" xfId="0" applyNumberFormat="1" applyFont="1" applyBorder="1" applyAlignment="1">
      <alignment vertical="center"/>
    </xf>
    <xf numFmtId="176" fontId="8" fillId="4" borderId="3" xfId="0" applyNumberFormat="1" applyFont="1" applyFill="1" applyBorder="1" applyAlignment="1" applyProtection="1">
      <alignment vertical="center"/>
      <protection locked="0"/>
    </xf>
    <xf numFmtId="178" fontId="8" fillId="4" borderId="45" xfId="0" applyNumberFormat="1" applyFont="1" applyFill="1" applyBorder="1" applyAlignment="1">
      <alignment vertical="center"/>
    </xf>
    <xf numFmtId="178" fontId="8" fillId="0" borderId="47" xfId="0" applyNumberFormat="1" applyFont="1" applyBorder="1" applyAlignment="1">
      <alignment vertical="center"/>
    </xf>
    <xf numFmtId="0" fontId="8" fillId="0" borderId="22" xfId="0" applyFont="1" applyBorder="1" applyAlignment="1">
      <alignment vertical="center"/>
    </xf>
    <xf numFmtId="0" fontId="8" fillId="0" borderId="49" xfId="0" applyFont="1" applyBorder="1" applyAlignment="1">
      <alignment vertical="center"/>
    </xf>
    <xf numFmtId="176" fontId="8" fillId="0" borderId="36" xfId="0" applyNumberFormat="1" applyFont="1" applyBorder="1" applyAlignment="1" applyProtection="1">
      <alignment vertical="center"/>
      <protection locked="0"/>
    </xf>
    <xf numFmtId="178" fontId="8" fillId="0" borderId="50" xfId="0" applyNumberFormat="1" applyFont="1" applyBorder="1" applyAlignment="1">
      <alignment vertical="center"/>
    </xf>
    <xf numFmtId="0" fontId="8" fillId="0" borderId="36" xfId="0" applyFont="1" applyBorder="1" applyAlignment="1">
      <alignment horizontal="center" vertical="center" shrinkToFit="1"/>
    </xf>
    <xf numFmtId="0" fontId="7" fillId="0" borderId="0" xfId="0" applyFont="1" applyBorder="1"/>
    <xf numFmtId="0" fontId="8" fillId="0" borderId="29" xfId="0" applyFont="1" applyBorder="1" applyAlignment="1">
      <alignment horizontal="center" vertical="center" shrinkToFit="1"/>
    </xf>
    <xf numFmtId="0" fontId="8" fillId="0" borderId="51" xfId="0" applyFont="1" applyBorder="1" applyAlignment="1">
      <alignment horizontal="center" vertical="center" textRotation="255"/>
    </xf>
    <xf numFmtId="0" fontId="8" fillId="0" borderId="52" xfId="0" applyFont="1" applyBorder="1" applyAlignment="1">
      <alignment horizontal="center" vertical="center"/>
    </xf>
    <xf numFmtId="176" fontId="8" fillId="4" borderId="53" xfId="0" applyNumberFormat="1" applyFont="1" applyFill="1" applyBorder="1" applyAlignment="1">
      <alignment vertical="center"/>
    </xf>
    <xf numFmtId="178" fontId="8" fillId="4" borderId="52" xfId="0" applyNumberFormat="1" applyFont="1" applyFill="1" applyBorder="1" applyAlignment="1">
      <alignment vertical="center"/>
    </xf>
    <xf numFmtId="178" fontId="8" fillId="4" borderId="54" xfId="0" applyNumberFormat="1" applyFont="1" applyFill="1" applyBorder="1" applyAlignment="1">
      <alignment vertical="center"/>
    </xf>
    <xf numFmtId="176" fontId="8" fillId="4" borderId="22" xfId="0" applyNumberFormat="1" applyFont="1" applyFill="1" applyBorder="1" applyAlignment="1">
      <alignment vertical="center"/>
    </xf>
    <xf numFmtId="185" fontId="7" fillId="4" borderId="0" xfId="0" applyNumberFormat="1" applyFont="1" applyFill="1" applyBorder="1"/>
    <xf numFmtId="185" fontId="7" fillId="0" borderId="47" xfId="0" applyNumberFormat="1" applyFont="1" applyBorder="1"/>
    <xf numFmtId="185" fontId="7" fillId="0" borderId="42" xfId="0" applyNumberFormat="1" applyFont="1" applyBorder="1"/>
    <xf numFmtId="176" fontId="8" fillId="0" borderId="27"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185" fontId="7" fillId="0" borderId="50" xfId="0" applyNumberFormat="1" applyFont="1" applyBorder="1"/>
    <xf numFmtId="176" fontId="8" fillId="4" borderId="4" xfId="0" applyNumberFormat="1" applyFont="1" applyFill="1" applyBorder="1" applyAlignment="1" applyProtection="1">
      <alignment vertical="center"/>
      <protection locked="0"/>
    </xf>
    <xf numFmtId="185" fontId="7" fillId="4" borderId="21" xfId="0" applyNumberFormat="1" applyFont="1" applyFill="1" applyBorder="1"/>
    <xf numFmtId="0" fontId="8" fillId="0" borderId="57" xfId="0" applyFont="1" applyBorder="1" applyAlignment="1">
      <alignment vertical="center"/>
    </xf>
    <xf numFmtId="0" fontId="8" fillId="0" borderId="58" xfId="0" applyFont="1" applyBorder="1" applyAlignment="1">
      <alignment vertical="center"/>
    </xf>
    <xf numFmtId="176" fontId="8" fillId="4" borderId="59" xfId="0" applyNumberFormat="1" applyFont="1" applyFill="1" applyBorder="1" applyAlignment="1">
      <alignment vertical="center"/>
    </xf>
    <xf numFmtId="185" fontId="7" fillId="4" borderId="60" xfId="0" applyNumberFormat="1" applyFont="1" applyFill="1" applyBorder="1"/>
    <xf numFmtId="176" fontId="8" fillId="0" borderId="0" xfId="0" applyNumberFormat="1" applyFont="1" applyBorder="1" applyAlignment="1">
      <alignment vertical="center"/>
    </xf>
    <xf numFmtId="0" fontId="14" fillId="0" borderId="0" xfId="4" applyFont="1"/>
    <xf numFmtId="0" fontId="15" fillId="0" borderId="0" xfId="4" applyFont="1"/>
    <xf numFmtId="182" fontId="15" fillId="0" borderId="0" xfId="4" applyNumberFormat="1" applyFont="1"/>
    <xf numFmtId="0" fontId="15" fillId="0" borderId="0" xfId="4" applyFont="1" applyBorder="1"/>
    <xf numFmtId="0" fontId="17" fillId="0" borderId="0" xfId="4" applyFont="1" applyBorder="1" applyAlignment="1">
      <alignment horizontal="right"/>
    </xf>
    <xf numFmtId="185" fontId="17" fillId="0" borderId="0" xfId="4" applyNumberFormat="1" applyFont="1" applyBorder="1" applyAlignment="1">
      <alignment horizontal="right"/>
    </xf>
    <xf numFmtId="0" fontId="5" fillId="0" borderId="0" xfId="4" applyFont="1"/>
    <xf numFmtId="0" fontId="17" fillId="0" borderId="0" xfId="4" applyFont="1" applyBorder="1"/>
    <xf numFmtId="0" fontId="17" fillId="0" borderId="0" xfId="4" applyFont="1" applyBorder="1" applyAlignment="1"/>
    <xf numFmtId="0" fontId="8" fillId="0" borderId="27" xfId="0" applyFont="1" applyBorder="1" applyAlignment="1">
      <alignment horizontal="distributed" vertical="center" wrapText="1"/>
    </xf>
    <xf numFmtId="178" fontId="8" fillId="4" borderId="29" xfId="0" applyNumberFormat="1" applyFont="1" applyFill="1" applyBorder="1" applyAlignment="1" applyProtection="1">
      <alignment vertical="center"/>
      <protection locked="0"/>
    </xf>
    <xf numFmtId="186" fontId="7" fillId="0" borderId="3" xfId="0" applyNumberFormat="1" applyFont="1" applyBorder="1"/>
    <xf numFmtId="178" fontId="8" fillId="0" borderId="25" xfId="0" applyNumberFormat="1" applyFont="1" applyBorder="1" applyAlignment="1" applyProtection="1">
      <alignment vertical="center"/>
      <protection locked="0"/>
    </xf>
    <xf numFmtId="178" fontId="8" fillId="0" borderId="27" xfId="0" applyNumberFormat="1" applyFont="1" applyBorder="1" applyAlignment="1" applyProtection="1">
      <alignment vertical="center"/>
      <protection locked="0"/>
    </xf>
    <xf numFmtId="178" fontId="8" fillId="0" borderId="33" xfId="0" applyNumberFormat="1" applyFont="1" applyBorder="1" applyAlignment="1" applyProtection="1">
      <alignment vertical="center"/>
      <protection locked="0"/>
    </xf>
    <xf numFmtId="190" fontId="7" fillId="0" borderId="0" xfId="0" applyNumberFormat="1" applyFont="1"/>
    <xf numFmtId="182" fontId="7" fillId="0" borderId="0" xfId="0" applyNumberFormat="1" applyFont="1" applyAlignment="1">
      <alignment vertical="center"/>
    </xf>
    <xf numFmtId="191" fontId="7" fillId="0" borderId="0" xfId="0" applyNumberFormat="1" applyFont="1"/>
    <xf numFmtId="191" fontId="7" fillId="0" borderId="0" xfId="0" applyNumberFormat="1" applyFont="1" applyAlignment="1">
      <alignment vertical="center"/>
    </xf>
    <xf numFmtId="0" fontId="8" fillId="0" borderId="41" xfId="0" applyFont="1" applyBorder="1" applyAlignment="1">
      <alignment horizontal="distributed" vertical="center"/>
    </xf>
    <xf numFmtId="0" fontId="8" fillId="0" borderId="22" xfId="0" applyFont="1" applyBorder="1" applyAlignment="1">
      <alignment horizontal="distributed" vertical="center"/>
    </xf>
    <xf numFmtId="0" fontId="7" fillId="6" borderId="0" xfId="0" applyFont="1" applyFill="1"/>
    <xf numFmtId="176" fontId="8" fillId="0" borderId="0" xfId="0" applyNumberFormat="1" applyFont="1" applyFill="1" applyBorder="1" applyAlignment="1" applyProtection="1">
      <alignment vertical="center"/>
      <protection locked="0"/>
    </xf>
    <xf numFmtId="185" fontId="7" fillId="0" borderId="0" xfId="0" applyNumberFormat="1" applyFont="1" applyBorder="1"/>
    <xf numFmtId="0" fontId="18" fillId="0" borderId="0" xfId="0" applyFont="1" applyBorder="1"/>
    <xf numFmtId="0" fontId="8" fillId="0" borderId="31" xfId="0" applyFont="1" applyFill="1" applyBorder="1" applyAlignment="1">
      <alignment horizontal="center" vertical="center"/>
    </xf>
    <xf numFmtId="0" fontId="8" fillId="0" borderId="0" xfId="0" applyFont="1" applyFill="1" applyBorder="1" applyAlignment="1">
      <alignment horizontal="center" vertical="center"/>
    </xf>
    <xf numFmtId="176" fontId="8" fillId="0" borderId="31" xfId="0" applyNumberFormat="1" applyFont="1" applyFill="1" applyBorder="1" applyAlignment="1" applyProtection="1">
      <alignment vertical="center"/>
      <protection locked="0"/>
    </xf>
    <xf numFmtId="176" fontId="8" fillId="0" borderId="31" xfId="0" applyNumberFormat="1" applyFont="1" applyFill="1" applyBorder="1" applyAlignment="1" applyProtection="1">
      <alignment horizontal="right" vertical="center"/>
      <protection locked="0"/>
    </xf>
    <xf numFmtId="176" fontId="8" fillId="0" borderId="0" xfId="0" applyNumberFormat="1" applyFont="1" applyFill="1" applyBorder="1" applyAlignment="1" applyProtection="1">
      <alignment horizontal="right" vertical="center"/>
      <protection locked="0"/>
    </xf>
    <xf numFmtId="176" fontId="8" fillId="0" borderId="31" xfId="0" applyNumberFormat="1" applyFont="1" applyFill="1" applyBorder="1" applyAlignment="1">
      <alignment vertical="center"/>
    </xf>
    <xf numFmtId="176" fontId="8" fillId="0" borderId="0" xfId="0" applyNumberFormat="1" applyFont="1" applyFill="1" applyBorder="1" applyAlignment="1">
      <alignment vertical="center"/>
    </xf>
    <xf numFmtId="176" fontId="8" fillId="0" borderId="0" xfId="0" applyNumberFormat="1" applyFont="1" applyFill="1" applyBorder="1"/>
    <xf numFmtId="178" fontId="8" fillId="0" borderId="41" xfId="0" applyNumberFormat="1" applyFont="1" applyBorder="1"/>
    <xf numFmtId="178" fontId="8" fillId="4" borderId="44" xfId="0" applyNumberFormat="1" applyFont="1" applyFill="1" applyBorder="1"/>
    <xf numFmtId="178" fontId="8" fillId="0" borderId="19" xfId="0" applyNumberFormat="1" applyFont="1" applyBorder="1"/>
    <xf numFmtId="178" fontId="8" fillId="4" borderId="110" xfId="0" applyNumberFormat="1" applyFont="1" applyFill="1" applyBorder="1"/>
    <xf numFmtId="178" fontId="8" fillId="0" borderId="0" xfId="0" applyNumberFormat="1" applyFont="1" applyFill="1" applyBorder="1"/>
    <xf numFmtId="176" fontId="8" fillId="0" borderId="31" xfId="0" applyNumberFormat="1" applyFont="1" applyFill="1" applyBorder="1"/>
    <xf numFmtId="178" fontId="8" fillId="0" borderId="0" xfId="0" applyNumberFormat="1" applyFont="1" applyFill="1" applyBorder="1" applyAlignment="1">
      <alignment vertical="center"/>
    </xf>
    <xf numFmtId="0" fontId="7" fillId="0" borderId="0" xfId="0" applyFont="1" applyFill="1" applyBorder="1"/>
    <xf numFmtId="185" fontId="7" fillId="0" borderId="0" xfId="0" applyNumberFormat="1" applyFont="1" applyFill="1" applyBorder="1"/>
    <xf numFmtId="0" fontId="7" fillId="0" borderId="31" xfId="0" applyFont="1" applyFill="1" applyBorder="1"/>
    <xf numFmtId="0" fontId="8" fillId="6" borderId="0" xfId="0" applyFont="1" applyFill="1" applyBorder="1" applyAlignment="1">
      <alignment horizontal="distributed" wrapText="1"/>
    </xf>
    <xf numFmtId="176" fontId="8" fillId="6" borderId="0" xfId="0" applyNumberFormat="1" applyFont="1" applyFill="1" applyBorder="1"/>
    <xf numFmtId="178" fontId="8" fillId="6" borderId="0" xfId="0" applyNumberFormat="1" applyFont="1" applyFill="1" applyBorder="1"/>
    <xf numFmtId="176" fontId="7" fillId="6" borderId="0" xfId="0" applyNumberFormat="1" applyFont="1" applyFill="1"/>
    <xf numFmtId="178" fontId="7" fillId="6" borderId="0" xfId="0" applyNumberFormat="1" applyFont="1" applyFill="1"/>
    <xf numFmtId="191" fontId="7" fillId="6" borderId="0" xfId="0" applyNumberFormat="1" applyFont="1" applyFill="1"/>
    <xf numFmtId="182" fontId="7" fillId="6" borderId="0" xfId="0" applyNumberFormat="1" applyFont="1" applyFill="1"/>
    <xf numFmtId="178" fontId="8" fillId="0" borderId="36" xfId="0" applyNumberFormat="1" applyFont="1" applyBorder="1"/>
    <xf numFmtId="176" fontId="8" fillId="0" borderId="36" xfId="0" applyNumberFormat="1" applyFont="1" applyBorder="1"/>
    <xf numFmtId="178" fontId="8" fillId="0" borderId="49" xfId="0" applyNumberFormat="1" applyFont="1" applyBorder="1"/>
    <xf numFmtId="178" fontId="8" fillId="0" borderId="111" xfId="0" applyNumberFormat="1" applyFont="1" applyBorder="1"/>
    <xf numFmtId="0" fontId="8" fillId="0" borderId="21" xfId="0" applyFont="1" applyBorder="1" applyAlignment="1">
      <alignment vertical="distributed"/>
    </xf>
    <xf numFmtId="0" fontId="8" fillId="0" borderId="27" xfId="0" applyFont="1" applyBorder="1" applyAlignment="1">
      <alignment vertical="distributed"/>
    </xf>
    <xf numFmtId="0" fontId="8" fillId="0" borderId="36" xfId="0" applyFont="1" applyBorder="1" applyAlignment="1">
      <alignment vertical="distributed"/>
    </xf>
    <xf numFmtId="185" fontId="7" fillId="0" borderId="113" xfId="0" applyNumberFormat="1" applyFont="1" applyBorder="1"/>
    <xf numFmtId="185" fontId="7" fillId="0" borderId="114" xfId="0" applyNumberFormat="1" applyFont="1" applyBorder="1"/>
    <xf numFmtId="0" fontId="8" fillId="0" borderId="4" xfId="0" applyFont="1" applyBorder="1" applyAlignment="1">
      <alignment vertical="distributed"/>
    </xf>
    <xf numFmtId="176" fontId="8" fillId="9" borderId="27" xfId="0" applyNumberFormat="1" applyFont="1" applyFill="1" applyBorder="1" applyAlignment="1" applyProtection="1">
      <alignment vertical="center"/>
      <protection locked="0"/>
    </xf>
    <xf numFmtId="178" fontId="8" fillId="9" borderId="27" xfId="0" applyNumberFormat="1" applyFont="1" applyFill="1" applyBorder="1" applyAlignment="1" applyProtection="1">
      <alignment vertical="center"/>
      <protection locked="0"/>
    </xf>
    <xf numFmtId="178" fontId="8" fillId="9" borderId="27" xfId="0" applyNumberFormat="1" applyFont="1" applyFill="1" applyBorder="1" applyAlignment="1">
      <alignment vertical="center"/>
    </xf>
    <xf numFmtId="178" fontId="8" fillId="9" borderId="41" xfId="0" applyNumberFormat="1" applyFont="1" applyFill="1" applyBorder="1" applyAlignment="1">
      <alignment vertical="center"/>
    </xf>
    <xf numFmtId="0" fontId="16" fillId="0" borderId="0" xfId="4" applyFont="1" applyAlignment="1">
      <alignment horizontal="center"/>
    </xf>
    <xf numFmtId="178" fontId="8" fillId="0" borderId="27" xfId="0" applyNumberFormat="1" applyFont="1" applyFill="1" applyBorder="1" applyAlignment="1" applyProtection="1">
      <alignment vertical="center"/>
      <protection locked="0"/>
    </xf>
    <xf numFmtId="178" fontId="8" fillId="9" borderId="42" xfId="0" applyNumberFormat="1" applyFont="1" applyFill="1" applyBorder="1" applyAlignment="1">
      <alignment vertical="center"/>
    </xf>
    <xf numFmtId="176" fontId="8" fillId="8" borderId="36" xfId="0" applyNumberFormat="1" applyFont="1" applyFill="1" applyBorder="1" applyAlignment="1" applyProtection="1">
      <alignment vertical="center"/>
      <protection locked="0"/>
    </xf>
    <xf numFmtId="176" fontId="8" fillId="8" borderId="27" xfId="0" applyNumberFormat="1" applyFont="1" applyFill="1" applyBorder="1" applyAlignment="1" applyProtection="1">
      <alignment vertical="center"/>
      <protection locked="0"/>
    </xf>
    <xf numFmtId="178" fontId="8" fillId="0" borderId="42" xfId="0" applyNumberFormat="1" applyFont="1" applyFill="1" applyBorder="1" applyAlignment="1">
      <alignment vertical="center"/>
    </xf>
    <xf numFmtId="176" fontId="8" fillId="0" borderId="119" xfId="0" applyNumberFormat="1" applyFont="1" applyBorder="1" applyAlignment="1" applyProtection="1">
      <alignment vertical="center"/>
      <protection locked="0"/>
    </xf>
    <xf numFmtId="178" fontId="8" fillId="0" borderId="119" xfId="0" applyNumberFormat="1" applyFont="1" applyBorder="1" applyAlignment="1" applyProtection="1">
      <alignment vertical="center"/>
      <protection locked="0"/>
    </xf>
    <xf numFmtId="178" fontId="8" fillId="0" borderId="119" xfId="0" applyNumberFormat="1" applyFont="1" applyBorder="1" applyAlignment="1">
      <alignment vertical="center"/>
    </xf>
    <xf numFmtId="178" fontId="8" fillId="0" borderId="27" xfId="0" applyNumberFormat="1" applyFont="1" applyBorder="1" applyAlignment="1" applyProtection="1">
      <alignment horizontal="right" vertical="center"/>
      <protection locked="0"/>
    </xf>
    <xf numFmtId="178" fontId="8" fillId="0" borderId="111" xfId="0" applyNumberFormat="1" applyFont="1" applyBorder="1" applyAlignment="1">
      <alignment vertical="center"/>
    </xf>
    <xf numFmtId="0" fontId="20" fillId="0" borderId="0" xfId="4" applyFont="1"/>
    <xf numFmtId="0" fontId="21" fillId="0" borderId="0" xfId="4" applyFont="1"/>
    <xf numFmtId="182" fontId="21" fillId="0" borderId="0" xfId="4" applyNumberFormat="1" applyFont="1"/>
    <xf numFmtId="182" fontId="22" fillId="0" borderId="0" xfId="4" applyNumberFormat="1" applyFont="1" applyAlignment="1">
      <alignment horizontal="right"/>
    </xf>
    <xf numFmtId="0" fontId="23" fillId="0" borderId="0" xfId="4" applyFont="1"/>
    <xf numFmtId="0" fontId="24" fillId="0" borderId="0" xfId="4" applyFont="1" applyBorder="1" applyAlignment="1"/>
    <xf numFmtId="0" fontId="23" fillId="0" borderId="0" xfId="4" applyFont="1" applyBorder="1" applyAlignment="1">
      <alignment horizontal="center"/>
    </xf>
    <xf numFmtId="0" fontId="23" fillId="0" borderId="0" xfId="4" applyFont="1" applyBorder="1" applyAlignment="1">
      <alignment horizontal="left"/>
    </xf>
    <xf numFmtId="0" fontId="24" fillId="0" borderId="61" xfId="4" applyFont="1" applyBorder="1" applyAlignment="1"/>
    <xf numFmtId="0" fontId="21" fillId="0" borderId="45" xfId="4" applyFont="1" applyBorder="1"/>
    <xf numFmtId="0" fontId="22" fillId="0" borderId="0" xfId="4" applyFont="1"/>
    <xf numFmtId="0" fontId="21" fillId="0" borderId="0" xfId="4" applyFont="1" applyAlignment="1">
      <alignment horizontal="right"/>
    </xf>
    <xf numFmtId="182" fontId="21" fillId="0" borderId="0" xfId="4" applyNumberFormat="1" applyFont="1" applyAlignment="1">
      <alignment horizontal="right"/>
    </xf>
    <xf numFmtId="0" fontId="21" fillId="0" borderId="0" xfId="4" applyFont="1" applyBorder="1"/>
    <xf numFmtId="0" fontId="21" fillId="0" borderId="0" xfId="4" applyFont="1" applyBorder="1" applyAlignment="1">
      <alignment horizontal="center"/>
    </xf>
    <xf numFmtId="0" fontId="21" fillId="0" borderId="0" xfId="4" applyFont="1" applyBorder="1" applyAlignment="1">
      <alignment horizontal="left"/>
    </xf>
    <xf numFmtId="0" fontId="21" fillId="0" borderId="0" xfId="4" applyFont="1" applyBorder="1" applyAlignment="1">
      <alignment horizontal="right"/>
    </xf>
    <xf numFmtId="0" fontId="21" fillId="0" borderId="63" xfId="4" applyFont="1" applyBorder="1"/>
    <xf numFmtId="0" fontId="25" fillId="0" borderId="63" xfId="4" applyFont="1" applyBorder="1" applyAlignment="1">
      <alignment horizontal="right"/>
    </xf>
    <xf numFmtId="185" fontId="25" fillId="0" borderId="63" xfId="4" applyNumberFormat="1" applyFont="1" applyFill="1" applyBorder="1" applyAlignment="1">
      <alignment horizontal="right"/>
    </xf>
    <xf numFmtId="0" fontId="25" fillId="0" borderId="64" xfId="4" applyFont="1" applyBorder="1"/>
    <xf numFmtId="0" fontId="25" fillId="0" borderId="19" xfId="4" applyFont="1" applyBorder="1"/>
    <xf numFmtId="0" fontId="25" fillId="0" borderId="0" xfId="4" applyFont="1" applyBorder="1" applyAlignment="1">
      <alignment horizontal="right"/>
    </xf>
    <xf numFmtId="185" fontId="25" fillId="0" borderId="0" xfId="4" applyNumberFormat="1" applyFont="1" applyFill="1" applyBorder="1" applyAlignment="1">
      <alignment horizontal="right"/>
    </xf>
    <xf numFmtId="0" fontId="25" fillId="0" borderId="20" xfId="4" applyFont="1" applyBorder="1"/>
    <xf numFmtId="0" fontId="25" fillId="0" borderId="65" xfId="4" applyFont="1" applyBorder="1"/>
    <xf numFmtId="0" fontId="21" fillId="0" borderId="21" xfId="4" applyFont="1" applyBorder="1"/>
    <xf numFmtId="0" fontId="25" fillId="0" borderId="21" xfId="4" applyFont="1" applyBorder="1" applyAlignment="1">
      <alignment horizontal="right"/>
    </xf>
    <xf numFmtId="185" fontId="25" fillId="0" borderId="21" xfId="4" applyNumberFormat="1" applyFont="1" applyFill="1" applyBorder="1" applyAlignment="1">
      <alignment horizontal="right"/>
    </xf>
    <xf numFmtId="0" fontId="25" fillId="0" borderId="14" xfId="4" applyFont="1" applyBorder="1"/>
    <xf numFmtId="0" fontId="25" fillId="0" borderId="0" xfId="4" applyFont="1" applyBorder="1" applyAlignment="1"/>
    <xf numFmtId="0" fontId="25" fillId="0" borderId="0" xfId="4" applyFont="1" applyBorder="1"/>
    <xf numFmtId="0" fontId="25" fillId="0" borderId="62" xfId="4" applyFont="1" applyBorder="1"/>
    <xf numFmtId="0" fontId="25" fillId="0" borderId="63" xfId="4" applyFont="1" applyBorder="1"/>
    <xf numFmtId="185" fontId="25" fillId="0" borderId="0" xfId="4" applyNumberFormat="1" applyFont="1" applyBorder="1" applyAlignment="1">
      <alignment horizontal="right" shrinkToFit="1"/>
    </xf>
    <xf numFmtId="0" fontId="25" fillId="0" borderId="21" xfId="4" applyFont="1" applyBorder="1"/>
    <xf numFmtId="0" fontId="25" fillId="0" borderId="19" xfId="4" applyFont="1" applyBorder="1" applyAlignment="1">
      <alignment horizontal="left"/>
    </xf>
    <xf numFmtId="0" fontId="25" fillId="0" borderId="65" xfId="4" applyFont="1" applyBorder="1" applyAlignment="1">
      <alignment horizontal="left"/>
    </xf>
    <xf numFmtId="185" fontId="25" fillId="0" borderId="21" xfId="4" applyNumberFormat="1" applyFont="1" applyBorder="1" applyAlignment="1">
      <alignment horizontal="right" shrinkToFit="1"/>
    </xf>
    <xf numFmtId="0" fontId="27" fillId="0" borderId="0" xfId="4" applyFont="1" applyAlignment="1">
      <alignment vertical="top" wrapText="1"/>
    </xf>
    <xf numFmtId="0" fontId="21" fillId="0" borderId="0" xfId="4" applyFont="1" applyFill="1"/>
    <xf numFmtId="0" fontId="21" fillId="0" borderId="0" xfId="4" applyFont="1" applyFill="1" applyAlignment="1">
      <alignment horizontal="center"/>
    </xf>
    <xf numFmtId="182" fontId="21" fillId="0" borderId="0" xfId="4" applyNumberFormat="1" applyFont="1" applyFill="1"/>
    <xf numFmtId="0" fontId="21" fillId="0" borderId="0" xfId="4" applyFont="1" applyAlignment="1">
      <alignment horizontal="left" vertical="center"/>
    </xf>
    <xf numFmtId="0" fontId="28" fillId="0" borderId="0" xfId="4" applyFont="1" applyFill="1"/>
    <xf numFmtId="0" fontId="28" fillId="0" borderId="0" xfId="4" applyFont="1" applyFill="1" applyAlignment="1">
      <alignment horizontal="right"/>
    </xf>
    <xf numFmtId="0" fontId="28" fillId="0" borderId="0" xfId="4" applyFont="1"/>
    <xf numFmtId="0" fontId="28" fillId="0" borderId="0" xfId="4" applyFont="1" applyAlignment="1">
      <alignment horizontal="right"/>
    </xf>
    <xf numFmtId="0" fontId="27" fillId="6" borderId="0" xfId="0" applyFont="1" applyFill="1" applyAlignment="1">
      <alignment horizontal="right" wrapText="1"/>
    </xf>
    <xf numFmtId="0" fontId="28" fillId="0" borderId="0" xfId="4" applyFont="1" applyAlignment="1">
      <alignment vertical="center"/>
    </xf>
    <xf numFmtId="0" fontId="28" fillId="0" borderId="0" xfId="4" applyFont="1" applyAlignment="1">
      <alignment horizontal="right" vertical="center"/>
    </xf>
    <xf numFmtId="0" fontId="28" fillId="6" borderId="0" xfId="4" applyFont="1" applyFill="1" applyAlignment="1">
      <alignment vertical="center"/>
    </xf>
    <xf numFmtId="0" fontId="28" fillId="6" borderId="0" xfId="4" applyFont="1" applyFill="1" applyAlignment="1">
      <alignment horizontal="right" vertical="center"/>
    </xf>
    <xf numFmtId="0" fontId="28" fillId="8" borderId="0" xfId="4" applyFont="1" applyFill="1" applyAlignment="1">
      <alignment vertical="center"/>
    </xf>
    <xf numFmtId="0" fontId="28" fillId="8" borderId="0" xfId="4" applyFont="1" applyFill="1" applyAlignment="1">
      <alignment horizontal="right" vertical="center"/>
    </xf>
    <xf numFmtId="177" fontId="29" fillId="0" borderId="0" xfId="4" applyNumberFormat="1" applyFont="1" applyFill="1" applyBorder="1" applyAlignment="1">
      <alignment vertical="center"/>
    </xf>
    <xf numFmtId="0" fontId="28" fillId="0" borderId="0" xfId="0" applyFont="1" applyAlignment="1">
      <alignment vertical="center"/>
    </xf>
    <xf numFmtId="0" fontId="28" fillId="0" borderId="0" xfId="0" applyFont="1" applyFill="1" applyAlignment="1">
      <alignment vertical="center"/>
    </xf>
    <xf numFmtId="0" fontId="24" fillId="0" borderId="0" xfId="4" applyFont="1" applyFill="1" applyBorder="1" applyAlignment="1">
      <alignment vertical="center"/>
    </xf>
    <xf numFmtId="0" fontId="28" fillId="0" borderId="0" xfId="4" applyFont="1" applyFill="1" applyBorder="1" applyAlignment="1">
      <alignment vertical="center"/>
    </xf>
    <xf numFmtId="177" fontId="28" fillId="0" borderId="0" xfId="4" applyNumberFormat="1" applyFont="1" applyFill="1" applyBorder="1" applyAlignment="1">
      <alignment vertical="center"/>
    </xf>
    <xf numFmtId="183" fontId="28" fillId="0" borderId="0" xfId="4" applyNumberFormat="1" applyFont="1" applyFill="1" applyBorder="1" applyAlignment="1">
      <alignment vertical="center"/>
    </xf>
    <xf numFmtId="0" fontId="28" fillId="0" borderId="0" xfId="4" applyFont="1" applyBorder="1" applyAlignment="1">
      <alignment vertical="center"/>
    </xf>
    <xf numFmtId="0" fontId="22" fillId="0" borderId="0" xfId="0" applyFont="1" applyFill="1" applyAlignment="1">
      <alignment horizontal="right" vertical="center"/>
    </xf>
    <xf numFmtId="0" fontId="31" fillId="0" borderId="106" xfId="4" applyFont="1" applyBorder="1" applyAlignment="1">
      <alignment vertical="center"/>
    </xf>
    <xf numFmtId="188" fontId="31" fillId="0" borderId="106" xfId="4" applyNumberFormat="1" applyFont="1" applyBorder="1" applyAlignment="1">
      <alignment vertical="center"/>
    </xf>
    <xf numFmtId="0" fontId="29" fillId="0" borderId="7" xfId="4" applyFont="1" applyBorder="1"/>
    <xf numFmtId="0" fontId="29" fillId="0" borderId="7" xfId="4" applyFont="1" applyBorder="1" applyAlignment="1">
      <alignment horizontal="center"/>
    </xf>
    <xf numFmtId="182" fontId="28" fillId="0" borderId="0" xfId="4" applyNumberFormat="1" applyFont="1" applyBorder="1"/>
    <xf numFmtId="0" fontId="31" fillId="0" borderId="107" xfId="4" applyFont="1" applyBorder="1"/>
    <xf numFmtId="188" fontId="31" fillId="0" borderId="107" xfId="4" applyNumberFormat="1" applyFont="1" applyBorder="1"/>
    <xf numFmtId="0" fontId="28" fillId="0" borderId="0" xfId="4" applyFont="1" applyBorder="1"/>
    <xf numFmtId="0" fontId="29" fillId="0" borderId="9" xfId="4" applyFont="1" applyBorder="1"/>
    <xf numFmtId="187" fontId="29" fillId="0" borderId="9" xfId="4" applyNumberFormat="1" applyFont="1" applyBorder="1"/>
    <xf numFmtId="188" fontId="31" fillId="0" borderId="0" xfId="4" applyNumberFormat="1" applyFont="1" applyBorder="1"/>
    <xf numFmtId="0" fontId="28" fillId="0" borderId="107" xfId="4" applyFont="1" applyBorder="1"/>
    <xf numFmtId="0" fontId="30" fillId="0" borderId="107" xfId="4" applyFont="1" applyFill="1" applyBorder="1"/>
    <xf numFmtId="188" fontId="33" fillId="0" borderId="107" xfId="4" applyNumberFormat="1" applyFont="1" applyFill="1" applyBorder="1"/>
    <xf numFmtId="0" fontId="30" fillId="0" borderId="0" xfId="4" applyFont="1" applyFill="1" applyBorder="1"/>
    <xf numFmtId="0" fontId="30" fillId="0" borderId="9" xfId="4" applyFont="1" applyFill="1" applyBorder="1"/>
    <xf numFmtId="187" fontId="30" fillId="0" borderId="9" xfId="4" applyNumberFormat="1" applyFont="1" applyFill="1" applyBorder="1"/>
    <xf numFmtId="182" fontId="30" fillId="0" borderId="0" xfId="4" applyNumberFormat="1" applyFont="1" applyFill="1" applyBorder="1"/>
    <xf numFmtId="0" fontId="29" fillId="0" borderId="0" xfId="4" applyFont="1" applyBorder="1"/>
    <xf numFmtId="187" fontId="29" fillId="0" borderId="0" xfId="4" applyNumberFormat="1" applyFont="1" applyBorder="1"/>
    <xf numFmtId="0" fontId="22" fillId="6" borderId="0" xfId="0" applyFont="1" applyFill="1"/>
    <xf numFmtId="0" fontId="22" fillId="6" borderId="0" xfId="0" applyFont="1" applyFill="1" applyAlignment="1">
      <alignment horizontal="center"/>
    </xf>
    <xf numFmtId="177" fontId="22" fillId="6" borderId="0" xfId="0" applyNumberFormat="1" applyFont="1" applyFill="1"/>
    <xf numFmtId="177" fontId="28" fillId="6" borderId="0" xfId="0" applyNumberFormat="1" applyFont="1" applyFill="1" applyAlignment="1">
      <alignment horizontal="right"/>
    </xf>
    <xf numFmtId="0" fontId="22" fillId="6" borderId="0" xfId="0" applyFont="1" applyFill="1" applyAlignment="1">
      <alignment horizontal="right"/>
    </xf>
    <xf numFmtId="0" fontId="22" fillId="6" borderId="0" xfId="0" applyFont="1" applyFill="1" applyAlignment="1">
      <alignment horizontal="right" vertical="center"/>
    </xf>
    <xf numFmtId="0" fontId="22" fillId="6" borderId="0" xfId="0" applyFont="1" applyFill="1" applyAlignment="1">
      <alignment vertical="center"/>
    </xf>
    <xf numFmtId="0" fontId="28" fillId="6" borderId="0" xfId="0" applyFont="1" applyFill="1" applyAlignment="1">
      <alignment horizontal="right"/>
    </xf>
    <xf numFmtId="38" fontId="22" fillId="6" borderId="0" xfId="1" applyFont="1" applyFill="1" applyAlignment="1">
      <alignment horizontal="right" vertical="center"/>
    </xf>
    <xf numFmtId="0" fontId="34" fillId="0" borderId="0" xfId="0" applyFont="1" applyFill="1" applyAlignment="1">
      <alignment horizontal="right" vertical="center"/>
    </xf>
    <xf numFmtId="1" fontId="22" fillId="6" borderId="0" xfId="0" applyNumberFormat="1" applyFont="1" applyFill="1"/>
    <xf numFmtId="0" fontId="27" fillId="0" borderId="0" xfId="4" applyFont="1" applyAlignment="1">
      <alignment horizontal="left" vertical="top" wrapText="1"/>
    </xf>
    <xf numFmtId="0" fontId="22" fillId="0" borderId="0" xfId="0" applyFont="1"/>
    <xf numFmtId="0" fontId="22" fillId="0" borderId="0" xfId="0" applyFont="1" applyAlignment="1">
      <alignment horizontal="center"/>
    </xf>
    <xf numFmtId="0" fontId="22" fillId="0" borderId="0" xfId="0" applyFont="1" applyFill="1"/>
    <xf numFmtId="0" fontId="21" fillId="0" borderId="0" xfId="4" applyFont="1" applyAlignment="1">
      <alignment horizontal="left"/>
    </xf>
    <xf numFmtId="0" fontId="28" fillId="0" borderId="0" xfId="0" applyFont="1" applyFill="1" applyAlignment="1">
      <alignment horizontal="right"/>
    </xf>
    <xf numFmtId="0" fontId="27" fillId="6" borderId="0" xfId="0" applyFont="1" applyFill="1" applyAlignment="1">
      <alignment horizontal="left" wrapText="1"/>
    </xf>
    <xf numFmtId="0" fontId="28" fillId="0" borderId="0" xfId="0" applyFont="1" applyAlignment="1">
      <alignment horizontal="left" vertical="center"/>
    </xf>
    <xf numFmtId="0" fontId="24" fillId="0" borderId="0" xfId="0" applyFont="1" applyAlignment="1">
      <alignment vertical="center"/>
    </xf>
    <xf numFmtId="0" fontId="35" fillId="0" borderId="0" xfId="0" applyFont="1" applyAlignment="1">
      <alignment horizontal="left" vertical="center"/>
    </xf>
    <xf numFmtId="192" fontId="28" fillId="0" borderId="0" xfId="0" applyNumberFormat="1" applyFont="1" applyAlignment="1">
      <alignment horizontal="left" vertical="center"/>
    </xf>
    <xf numFmtId="0" fontId="29" fillId="0" borderId="0" xfId="0" applyFont="1" applyAlignment="1">
      <alignment horizontal="left" vertical="center"/>
    </xf>
    <xf numFmtId="0" fontId="22" fillId="0" borderId="0" xfId="0" applyFont="1" applyBorder="1" applyAlignment="1">
      <alignment horizontal="center"/>
    </xf>
    <xf numFmtId="176" fontId="22" fillId="2" borderId="0" xfId="0" applyNumberFormat="1" applyFont="1" applyFill="1" applyBorder="1"/>
    <xf numFmtId="176" fontId="22" fillId="0" borderId="0" xfId="0" applyNumberFormat="1" applyFont="1" applyFill="1" applyBorder="1"/>
    <xf numFmtId="178" fontId="22" fillId="2" borderId="0" xfId="0" applyNumberFormat="1" applyFont="1" applyFill="1" applyBorder="1"/>
    <xf numFmtId="177" fontId="22" fillId="2" borderId="0" xfId="0" applyNumberFormat="1" applyFont="1" applyFill="1" applyBorder="1"/>
    <xf numFmtId="182" fontId="22" fillId="2" borderId="0" xfId="0" applyNumberFormat="1" applyFont="1" applyFill="1" applyBorder="1"/>
    <xf numFmtId="0" fontId="22" fillId="0" borderId="0" xfId="0" applyFont="1" applyAlignment="1">
      <alignment horizontal="left"/>
    </xf>
    <xf numFmtId="178" fontId="22" fillId="0" borderId="0" xfId="0" applyNumberFormat="1" applyFont="1" applyFill="1" applyBorder="1"/>
    <xf numFmtId="0" fontId="22" fillId="2" borderId="0" xfId="0" applyFont="1" applyFill="1"/>
    <xf numFmtId="176" fontId="22" fillId="0" borderId="4" xfId="0" applyNumberFormat="1" applyFont="1" applyFill="1" applyBorder="1"/>
    <xf numFmtId="176" fontId="22" fillId="2" borderId="4" xfId="0" applyNumberFormat="1" applyFont="1" applyFill="1" applyBorder="1"/>
    <xf numFmtId="176" fontId="22" fillId="0" borderId="3" xfId="0" applyNumberFormat="1" applyFont="1" applyFill="1" applyBorder="1"/>
    <xf numFmtId="176" fontId="22" fillId="2" borderId="3" xfId="0" applyNumberFormat="1" applyFont="1" applyFill="1" applyBorder="1"/>
    <xf numFmtId="177" fontId="22" fillId="0" borderId="0" xfId="0" applyNumberFormat="1" applyFont="1"/>
    <xf numFmtId="177" fontId="28" fillId="0" borderId="0" xfId="0" applyNumberFormat="1" applyFont="1" applyAlignment="1">
      <alignment horizontal="right"/>
    </xf>
    <xf numFmtId="0" fontId="28" fillId="0" borderId="3" xfId="0" applyFont="1" applyBorder="1" applyAlignment="1">
      <alignment horizontal="center" vertical="center"/>
    </xf>
    <xf numFmtId="0" fontId="22" fillId="0" borderId="0" xfId="0" applyFont="1" applyAlignment="1">
      <alignment vertical="center"/>
    </xf>
    <xf numFmtId="1" fontId="22" fillId="0" borderId="0" xfId="0" applyNumberFormat="1" applyFont="1" applyFill="1"/>
    <xf numFmtId="0" fontId="36" fillId="3" borderId="0" xfId="2" applyFont="1" applyFill="1" applyAlignment="1">
      <alignment vertical="center"/>
    </xf>
    <xf numFmtId="0" fontId="26" fillId="3" borderId="21" xfId="2" applyFont="1" applyFill="1" applyBorder="1" applyAlignment="1">
      <alignment horizontal="center" vertical="top"/>
    </xf>
    <xf numFmtId="0" fontId="36" fillId="0" borderId="0" xfId="0" applyFont="1" applyFill="1" applyAlignment="1">
      <alignment vertical="center"/>
    </xf>
    <xf numFmtId="0" fontId="36" fillId="3" borderId="0" xfId="0" applyFont="1" applyFill="1" applyAlignment="1">
      <alignment vertical="center"/>
    </xf>
    <xf numFmtId="38" fontId="36" fillId="3" borderId="0" xfId="1" applyFont="1" applyFill="1" applyAlignment="1">
      <alignment vertical="center"/>
    </xf>
    <xf numFmtId="49" fontId="36" fillId="3" borderId="0" xfId="2" applyNumberFormat="1" applyFont="1" applyFill="1" applyAlignment="1">
      <alignment horizontal="center" vertical="center"/>
    </xf>
    <xf numFmtId="38" fontId="36" fillId="3" borderId="0" xfId="1" applyFont="1" applyFill="1"/>
    <xf numFmtId="0" fontId="36" fillId="3" borderId="0" xfId="2" applyFont="1" applyFill="1" applyAlignment="1"/>
    <xf numFmtId="49" fontId="36" fillId="3" borderId="0" xfId="2" applyNumberFormat="1" applyFont="1" applyFill="1" applyAlignment="1">
      <alignment horizontal="center"/>
    </xf>
    <xf numFmtId="0" fontId="36" fillId="3" borderId="0" xfId="2" applyFont="1" applyFill="1"/>
    <xf numFmtId="38" fontId="17" fillId="0" borderId="0" xfId="1" applyFont="1" applyBorder="1" applyAlignment="1">
      <alignment horizontal="right"/>
    </xf>
    <xf numFmtId="38" fontId="25" fillId="0" borderId="0" xfId="1" applyFont="1" applyBorder="1" applyAlignment="1">
      <alignment horizontal="right"/>
    </xf>
    <xf numFmtId="38" fontId="25" fillId="0" borderId="63" xfId="1" applyFont="1" applyBorder="1" applyAlignment="1">
      <alignment horizontal="right"/>
    </xf>
    <xf numFmtId="0" fontId="20" fillId="0" borderId="0" xfId="4" applyFont="1" applyAlignment="1">
      <alignment horizontal="center" vertical="center"/>
    </xf>
    <xf numFmtId="38" fontId="25" fillId="0" borderId="21" xfId="1" applyFont="1" applyBorder="1" applyAlignment="1">
      <alignment horizontal="right"/>
    </xf>
    <xf numFmtId="194" fontId="15" fillId="0" borderId="0" xfId="4" applyNumberFormat="1" applyFont="1" applyAlignment="1">
      <alignment horizontal="left"/>
    </xf>
    <xf numFmtId="38" fontId="25" fillId="0" borderId="62" xfId="1" applyFont="1" applyBorder="1"/>
    <xf numFmtId="38" fontId="25" fillId="0" borderId="63" xfId="1" applyFont="1" applyBorder="1"/>
    <xf numFmtId="184" fontId="25" fillId="0" borderId="63" xfId="4" applyNumberFormat="1" applyFont="1" applyBorder="1" applyAlignment="1"/>
    <xf numFmtId="38" fontId="25" fillId="0" borderId="19" xfId="1" applyFont="1" applyBorder="1"/>
    <xf numFmtId="38" fontId="25" fillId="0" borderId="0" xfId="1" applyFont="1" applyBorder="1"/>
    <xf numFmtId="184" fontId="25" fillId="0" borderId="0" xfId="4" applyNumberFormat="1" applyFont="1" applyBorder="1" applyAlignment="1"/>
    <xf numFmtId="38" fontId="25" fillId="0" borderId="65" xfId="1" applyFont="1" applyBorder="1"/>
    <xf numFmtId="38" fontId="25" fillId="0" borderId="21" xfId="1" applyFont="1" applyBorder="1"/>
    <xf numFmtId="184" fontId="25" fillId="0" borderId="21" xfId="4" applyNumberFormat="1" applyFont="1" applyBorder="1" applyAlignment="1"/>
    <xf numFmtId="0" fontId="27" fillId="0" borderId="0" xfId="4" applyFont="1"/>
    <xf numFmtId="3" fontId="21" fillId="0" borderId="0" xfId="4" applyNumberFormat="1" applyFont="1"/>
    <xf numFmtId="9" fontId="21" fillId="0" borderId="0" xfId="4" applyNumberFormat="1" applyFont="1"/>
    <xf numFmtId="185" fontId="25" fillId="0" borderId="63" xfId="4" applyNumberFormat="1" applyFont="1" applyBorder="1" applyAlignment="1">
      <alignment horizontal="right" shrinkToFit="1"/>
    </xf>
    <xf numFmtId="184" fontId="25" fillId="0" borderId="0" xfId="4" applyNumberFormat="1" applyFont="1" applyBorder="1"/>
    <xf numFmtId="0" fontId="25" fillId="0" borderId="0" xfId="4" applyFont="1"/>
    <xf numFmtId="38" fontId="25" fillId="0" borderId="0" xfId="1" applyFont="1" applyAlignment="1">
      <alignment horizontal="right"/>
    </xf>
    <xf numFmtId="0" fontId="21" fillId="0" borderId="20" xfId="4" applyFont="1" applyBorder="1"/>
    <xf numFmtId="182" fontId="21" fillId="0" borderId="0" xfId="4" applyNumberFormat="1" applyFont="1" applyBorder="1"/>
    <xf numFmtId="184" fontId="25" fillId="0" borderId="63" xfId="4" applyNumberFormat="1" applyFont="1" applyBorder="1" applyAlignment="1">
      <alignment shrinkToFit="1"/>
    </xf>
    <xf numFmtId="184" fontId="25" fillId="0" borderId="0" xfId="4" applyNumberFormat="1" applyFont="1" applyBorder="1" applyAlignment="1">
      <alignment shrinkToFit="1"/>
    </xf>
    <xf numFmtId="184" fontId="25" fillId="0" borderId="21" xfId="4" applyNumberFormat="1" applyFont="1" applyBorder="1" applyAlignment="1">
      <alignment shrinkToFit="1"/>
    </xf>
    <xf numFmtId="193" fontId="21" fillId="0" borderId="0" xfId="4" applyNumberFormat="1" applyFont="1" applyAlignment="1"/>
    <xf numFmtId="0" fontId="22" fillId="0" borderId="0" xfId="0" applyFont="1" applyFill="1" applyAlignment="1">
      <alignment horizontal="right"/>
    </xf>
    <xf numFmtId="0" fontId="36" fillId="0" borderId="0" xfId="0" applyFont="1" applyFill="1" applyAlignment="1">
      <alignment horizontal="center" vertical="center"/>
    </xf>
    <xf numFmtId="0" fontId="22" fillId="6" borderId="0" xfId="0" applyFont="1" applyFill="1" applyAlignment="1">
      <alignment horizontal="center"/>
    </xf>
    <xf numFmtId="0" fontId="22" fillId="0" borderId="0" xfId="0" applyFont="1" applyAlignment="1">
      <alignment horizontal="center"/>
    </xf>
    <xf numFmtId="0" fontId="36" fillId="3" borderId="0" xfId="2" applyFont="1" applyFill="1" applyAlignment="1">
      <alignment horizontal="center"/>
    </xf>
    <xf numFmtId="0" fontId="21" fillId="0" borderId="0" xfId="4" applyFont="1" applyAlignment="1">
      <alignment horizontal="center"/>
    </xf>
    <xf numFmtId="0" fontId="15" fillId="0" borderId="0" xfId="4" applyFont="1" applyAlignment="1">
      <alignment horizontal="center"/>
    </xf>
    <xf numFmtId="0" fontId="39" fillId="0" borderId="0" xfId="0" applyFont="1" applyFill="1" applyAlignment="1">
      <alignment horizontal="center" vertical="center"/>
    </xf>
    <xf numFmtId="0" fontId="39" fillId="0" borderId="0" xfId="0" applyFont="1" applyFill="1" applyAlignment="1">
      <alignment vertical="center"/>
    </xf>
    <xf numFmtId="0" fontId="41" fillId="0" borderId="0" xfId="0" applyFont="1" applyFill="1" applyBorder="1" applyAlignment="1">
      <alignment horizontal="left" vertical="center"/>
    </xf>
    <xf numFmtId="189" fontId="40" fillId="0" borderId="0" xfId="0" applyNumberFormat="1" applyFont="1" applyFill="1" applyBorder="1" applyAlignment="1">
      <alignment vertical="center"/>
    </xf>
    <xf numFmtId="177" fontId="40" fillId="0" borderId="0" xfId="0" applyNumberFormat="1" applyFont="1" applyFill="1" applyBorder="1" applyAlignment="1">
      <alignment vertical="center"/>
    </xf>
    <xf numFmtId="0" fontId="40" fillId="6" borderId="0" xfId="0" applyFont="1" applyFill="1" applyAlignment="1">
      <alignment horizontal="right" vertical="center"/>
    </xf>
    <xf numFmtId="177" fontId="43" fillId="0" borderId="0" xfId="4" applyNumberFormat="1" applyFont="1" applyFill="1" applyBorder="1" applyAlignment="1">
      <alignment vertical="center"/>
    </xf>
    <xf numFmtId="0" fontId="44" fillId="0" borderId="0" xfId="4" applyFont="1"/>
    <xf numFmtId="0" fontId="45" fillId="0" borderId="0" xfId="0" applyFont="1" applyFill="1" applyAlignment="1">
      <alignment vertical="center"/>
    </xf>
    <xf numFmtId="0" fontId="48" fillId="0" borderId="0" xfId="0" applyFont="1" applyFill="1" applyAlignment="1">
      <alignment vertical="center"/>
    </xf>
    <xf numFmtId="0" fontId="48" fillId="0" borderId="0" xfId="0" applyFont="1" applyFill="1" applyAlignment="1">
      <alignment horizontal="center" vertical="center"/>
    </xf>
    <xf numFmtId="3" fontId="48" fillId="0" borderId="0" xfId="0" applyNumberFormat="1" applyFont="1" applyFill="1" applyAlignment="1">
      <alignment horizontal="center" vertical="center"/>
    </xf>
    <xf numFmtId="195" fontId="48" fillId="0" borderId="0" xfId="0" applyNumberFormat="1" applyFont="1" applyFill="1" applyAlignment="1">
      <alignment horizontal="center" vertical="center"/>
    </xf>
    <xf numFmtId="187" fontId="49" fillId="0" borderId="0" xfId="4" applyNumberFormat="1" applyFont="1"/>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1" fillId="0" borderId="0" xfId="5" applyFont="1" applyFill="1"/>
    <xf numFmtId="0" fontId="52" fillId="0" borderId="0" xfId="4" applyFont="1" applyAlignment="1">
      <alignment vertical="top" wrapText="1"/>
    </xf>
    <xf numFmtId="0" fontId="29" fillId="0" borderId="0" xfId="5" applyFont="1" applyFill="1" applyBorder="1" applyAlignment="1">
      <alignment horizontal="left"/>
    </xf>
    <xf numFmtId="0" fontId="49" fillId="0" borderId="0" xfId="4" applyFont="1" applyAlignment="1">
      <alignment horizontal="left" vertical="center"/>
    </xf>
    <xf numFmtId="0" fontId="49" fillId="0" borderId="0" xfId="4" applyFont="1"/>
    <xf numFmtId="0" fontId="51" fillId="0" borderId="16" xfId="5" applyFont="1" applyFill="1" applyBorder="1" applyAlignment="1">
      <alignment horizontal="center" vertical="center"/>
    </xf>
    <xf numFmtId="38" fontId="51" fillId="0" borderId="17" xfId="6" applyFont="1" applyFill="1" applyBorder="1" applyAlignment="1">
      <alignment horizontal="center" vertical="center"/>
    </xf>
    <xf numFmtId="0" fontId="51" fillId="0" borderId="0" xfId="5" applyFont="1" applyFill="1" applyAlignment="1">
      <alignment horizontal="center" vertical="center"/>
    </xf>
    <xf numFmtId="0" fontId="46" fillId="0" borderId="0" xfId="0" applyFont="1" applyFill="1" applyAlignment="1">
      <alignment horizontal="right"/>
    </xf>
    <xf numFmtId="0" fontId="51" fillId="0" borderId="0" xfId="5" applyFont="1" applyFill="1" applyAlignment="1">
      <alignment horizontal="center"/>
    </xf>
    <xf numFmtId="0" fontId="51" fillId="0" borderId="0" xfId="5" applyFont="1" applyFill="1" applyAlignment="1">
      <alignment vertical="center"/>
    </xf>
    <xf numFmtId="0" fontId="53" fillId="0" borderId="0" xfId="5" applyFont="1" applyFill="1" applyAlignment="1">
      <alignment vertical="center"/>
    </xf>
    <xf numFmtId="0" fontId="51" fillId="0" borderId="0" xfId="5" applyFont="1" applyFill="1" applyBorder="1" applyAlignment="1">
      <alignment vertical="center"/>
    </xf>
    <xf numFmtId="38" fontId="51" fillId="0" borderId="0" xfId="6" applyFont="1" applyFill="1"/>
    <xf numFmtId="49" fontId="51" fillId="0" borderId="0" xfId="5" applyNumberFormat="1" applyFont="1" applyFill="1" applyAlignment="1">
      <alignment horizontal="center"/>
    </xf>
    <xf numFmtId="0" fontId="28" fillId="0" borderId="0" xfId="3" applyFont="1">
      <alignment vertical="center"/>
    </xf>
    <xf numFmtId="0" fontId="55" fillId="0" borderId="0" xfId="3" applyFont="1">
      <alignment vertical="center"/>
    </xf>
    <xf numFmtId="0" fontId="28" fillId="0" borderId="0" xfId="3" applyFont="1" applyFill="1">
      <alignment vertical="center"/>
    </xf>
    <xf numFmtId="0" fontId="28" fillId="0" borderId="0" xfId="3" applyFont="1" applyAlignment="1">
      <alignment horizontal="center" vertical="center"/>
    </xf>
    <xf numFmtId="0" fontId="30" fillId="0" borderId="121" xfId="4" applyFont="1" applyFill="1" applyBorder="1"/>
    <xf numFmtId="0" fontId="36" fillId="3" borderId="0" xfId="5" applyFont="1" applyFill="1"/>
    <xf numFmtId="0" fontId="36" fillId="0" borderId="19" xfId="5" applyFont="1" applyFill="1" applyBorder="1" applyAlignment="1">
      <alignment horizontal="center"/>
    </xf>
    <xf numFmtId="0" fontId="36" fillId="0" borderId="5" xfId="5" applyFont="1" applyFill="1" applyBorder="1" applyAlignment="1">
      <alignment horizontal="center"/>
    </xf>
    <xf numFmtId="38" fontId="36" fillId="0" borderId="6" xfId="6" applyFont="1" applyFill="1" applyBorder="1" applyAlignment="1">
      <alignment horizontal="right"/>
    </xf>
    <xf numFmtId="0" fontId="36" fillId="0" borderId="0" xfId="5" applyFont="1" applyFill="1" applyBorder="1" applyAlignment="1">
      <alignment horizontal="center"/>
    </xf>
    <xf numFmtId="0" fontId="36" fillId="0" borderId="19" xfId="5" applyFont="1" applyFill="1" applyBorder="1" applyAlignment="1">
      <alignment horizontal="left" vertical="top" wrapText="1"/>
    </xf>
    <xf numFmtId="0" fontId="36" fillId="0" borderId="1" xfId="5" applyFont="1" applyFill="1" applyBorder="1" applyAlignment="1">
      <alignment vertical="center"/>
    </xf>
    <xf numFmtId="38" fontId="36" fillId="0" borderId="8" xfId="6" applyFont="1" applyFill="1" applyBorder="1" applyAlignment="1">
      <alignment vertical="center"/>
    </xf>
    <xf numFmtId="0" fontId="36" fillId="0" borderId="2" xfId="5" applyFont="1" applyFill="1" applyBorder="1" applyAlignment="1">
      <alignment vertical="center"/>
    </xf>
    <xf numFmtId="0" fontId="36" fillId="0" borderId="5" xfId="5" applyFont="1" applyFill="1" applyBorder="1" applyAlignment="1">
      <alignment vertical="center" wrapText="1"/>
    </xf>
    <xf numFmtId="0" fontId="36" fillId="0" borderId="9" xfId="5" applyFont="1" applyFill="1" applyBorder="1" applyAlignment="1">
      <alignment vertical="center" wrapText="1"/>
    </xf>
    <xf numFmtId="0" fontId="36" fillId="0" borderId="9" xfId="5" applyFont="1" applyFill="1" applyBorder="1" applyAlignment="1">
      <alignment vertical="center"/>
    </xf>
    <xf numFmtId="0" fontId="36" fillId="0" borderId="0" xfId="5" applyFont="1" applyFill="1" applyBorder="1" applyAlignment="1">
      <alignment horizontal="left" vertical="top" wrapText="1"/>
    </xf>
    <xf numFmtId="49" fontId="36" fillId="0" borderId="0" xfId="6" applyNumberFormat="1" applyFont="1" applyFill="1" applyBorder="1" applyAlignment="1">
      <alignment vertical="top" wrapText="1"/>
    </xf>
    <xf numFmtId="38" fontId="36" fillId="0" borderId="10" xfId="6" applyFont="1" applyFill="1" applyBorder="1" applyAlignment="1">
      <alignment vertical="center"/>
    </xf>
    <xf numFmtId="0" fontId="36" fillId="0" borderId="0" xfId="5" applyFont="1" applyFill="1" applyBorder="1" applyAlignment="1">
      <alignment horizontal="center" vertical="top" wrapText="1"/>
    </xf>
    <xf numFmtId="38" fontId="36" fillId="0" borderId="0" xfId="6" applyFont="1" applyFill="1" applyBorder="1" applyAlignment="1">
      <alignment vertical="distributed" wrapText="1"/>
    </xf>
    <xf numFmtId="0" fontId="36" fillId="0" borderId="0" xfId="5" applyFont="1" applyFill="1" applyBorder="1" applyAlignment="1">
      <alignment horizontal="center" vertical="center" wrapText="1"/>
    </xf>
    <xf numFmtId="0" fontId="36" fillId="0" borderId="19" xfId="5" applyFont="1" applyFill="1" applyBorder="1" applyAlignment="1">
      <alignment horizontal="center" vertical="top" wrapText="1"/>
    </xf>
    <xf numFmtId="0" fontId="36" fillId="0" borderId="21" xfId="5" applyFont="1" applyFill="1" applyBorder="1" applyAlignment="1">
      <alignment vertical="center"/>
    </xf>
    <xf numFmtId="38" fontId="36" fillId="0" borderId="13" xfId="6" applyFont="1" applyFill="1" applyBorder="1" applyAlignment="1">
      <alignment vertical="center"/>
    </xf>
    <xf numFmtId="38" fontId="36" fillId="0" borderId="21" xfId="6" applyFont="1" applyFill="1" applyBorder="1" applyAlignment="1">
      <alignment vertical="distributed" wrapText="1"/>
    </xf>
    <xf numFmtId="0" fontId="36" fillId="0" borderId="14" xfId="5" applyFont="1" applyFill="1" applyBorder="1" applyAlignment="1">
      <alignment vertical="top" wrapText="1"/>
    </xf>
    <xf numFmtId="0" fontId="36" fillId="0" borderId="0" xfId="5" applyFont="1" applyFill="1"/>
    <xf numFmtId="38" fontId="36" fillId="0" borderId="0" xfId="6" applyFont="1" applyFill="1"/>
    <xf numFmtId="49" fontId="36" fillId="0" borderId="0" xfId="5" applyNumberFormat="1" applyFont="1" applyFill="1" applyAlignment="1">
      <alignment horizontal="center"/>
    </xf>
    <xf numFmtId="0" fontId="28" fillId="0" borderId="0" xfId="0" applyFont="1" applyBorder="1" applyAlignment="1">
      <alignment vertical="center"/>
    </xf>
    <xf numFmtId="3" fontId="22" fillId="6" borderId="0" xfId="0" applyNumberFormat="1" applyFont="1" applyFill="1" applyAlignment="1">
      <alignment horizontal="right" vertical="center"/>
    </xf>
    <xf numFmtId="38" fontId="22" fillId="6" borderId="0" xfId="1" applyFont="1" applyFill="1" applyAlignment="1">
      <alignment vertical="center"/>
    </xf>
    <xf numFmtId="0" fontId="28" fillId="8" borderId="0" xfId="0" applyFont="1" applyFill="1" applyAlignment="1">
      <alignment vertical="center"/>
    </xf>
    <xf numFmtId="0" fontId="35" fillId="8" borderId="0" xfId="0" applyFont="1" applyFill="1" applyAlignment="1">
      <alignment horizontal="left" vertical="center"/>
    </xf>
    <xf numFmtId="0" fontId="43" fillId="0" borderId="0" xfId="4" applyFont="1" applyBorder="1"/>
    <xf numFmtId="0" fontId="29" fillId="0" borderId="0" xfId="4" applyFont="1" applyBorder="1" applyAlignment="1">
      <alignment horizontal="center"/>
    </xf>
    <xf numFmtId="187" fontId="29" fillId="0" borderId="107" xfId="4" applyNumberFormat="1" applyFont="1" applyBorder="1"/>
    <xf numFmtId="0" fontId="29" fillId="0" borderId="126" xfId="4" applyFont="1" applyBorder="1"/>
    <xf numFmtId="187" fontId="29" fillId="0" borderId="126" xfId="4" applyNumberFormat="1" applyFont="1" applyBorder="1"/>
    <xf numFmtId="0" fontId="29" fillId="0" borderId="107" xfId="4" applyFont="1" applyBorder="1"/>
    <xf numFmtId="0" fontId="47" fillId="0" borderId="126" xfId="4" applyFont="1" applyBorder="1"/>
    <xf numFmtId="0" fontId="29" fillId="0" borderId="107" xfId="4" applyFont="1" applyFill="1" applyBorder="1"/>
    <xf numFmtId="187" fontId="29" fillId="0" borderId="107" xfId="4" applyNumberFormat="1" applyFont="1" applyFill="1" applyBorder="1"/>
    <xf numFmtId="189" fontId="46" fillId="0" borderId="0" xfId="0" applyNumberFormat="1" applyFont="1" applyFill="1" applyBorder="1" applyAlignment="1">
      <alignment vertical="center"/>
    </xf>
    <xf numFmtId="0" fontId="55" fillId="0" borderId="19" xfId="4" applyFont="1" applyBorder="1"/>
    <xf numFmtId="0" fontId="28" fillId="0" borderId="0" xfId="4" applyFont="1" applyFill="1" applyAlignment="1">
      <alignment vertical="center"/>
    </xf>
    <xf numFmtId="0" fontId="22" fillId="8" borderId="0" xfId="0" applyFont="1" applyFill="1" applyAlignment="1">
      <alignment horizontal="right" vertical="center"/>
    </xf>
    <xf numFmtId="0" fontId="36" fillId="0" borderId="20" xfId="5" applyFont="1" applyFill="1" applyBorder="1" applyAlignment="1">
      <alignment vertical="top" wrapText="1"/>
    </xf>
    <xf numFmtId="38" fontId="0" fillId="0" borderId="0" xfId="1" applyFont="1" applyAlignment="1">
      <alignment vertical="center"/>
    </xf>
    <xf numFmtId="38" fontId="7" fillId="0" borderId="0" xfId="1" applyFont="1" applyBorder="1"/>
    <xf numFmtId="38" fontId="18" fillId="0" borderId="0" xfId="1" applyFont="1" applyBorder="1"/>
    <xf numFmtId="0" fontId="46" fillId="0" borderId="123" xfId="0" applyFont="1" applyFill="1" applyBorder="1" applyAlignment="1">
      <alignment vertical="center" shrinkToFit="1"/>
    </xf>
    <xf numFmtId="189" fontId="46" fillId="0" borderId="123" xfId="0" applyNumberFormat="1" applyFont="1" applyFill="1" applyBorder="1" applyAlignment="1">
      <alignment vertical="center"/>
    </xf>
    <xf numFmtId="177" fontId="46" fillId="0" borderId="123" xfId="0" applyNumberFormat="1" applyFont="1" applyFill="1" applyBorder="1" applyAlignment="1">
      <alignment vertical="center"/>
    </xf>
    <xf numFmtId="189" fontId="46" fillId="0" borderId="124" xfId="0" applyNumberFormat="1" applyFont="1" applyFill="1" applyBorder="1" applyAlignment="1">
      <alignment vertical="center"/>
    </xf>
    <xf numFmtId="189" fontId="46" fillId="0" borderId="125" xfId="0" applyNumberFormat="1" applyFont="1" applyFill="1" applyBorder="1" applyAlignment="1">
      <alignment vertical="center"/>
    </xf>
    <xf numFmtId="0" fontId="36" fillId="0" borderId="65" xfId="0" applyFont="1" applyFill="1" applyBorder="1" applyAlignment="1">
      <alignment vertical="center"/>
    </xf>
    <xf numFmtId="0" fontId="36" fillId="0" borderId="14" xfId="0" applyFont="1" applyFill="1" applyBorder="1" applyAlignment="1">
      <alignment vertical="center"/>
    </xf>
    <xf numFmtId="0" fontId="37" fillId="0" borderId="21" xfId="0" applyFont="1" applyFill="1" applyBorder="1" applyAlignment="1">
      <alignment vertical="center" wrapText="1"/>
    </xf>
    <xf numFmtId="0" fontId="37" fillId="0" borderId="21" xfId="0" applyFont="1" applyFill="1" applyBorder="1" applyAlignment="1">
      <alignment horizontal="center"/>
    </xf>
    <xf numFmtId="0" fontId="37" fillId="0" borderId="21" xfId="0" applyFont="1" applyFill="1" applyBorder="1" applyAlignment="1">
      <alignment horizontal="center" vertical="center" shrinkToFit="1"/>
    </xf>
    <xf numFmtId="38" fontId="37" fillId="0" borderId="21" xfId="6" applyFont="1" applyFill="1" applyBorder="1" applyAlignment="1">
      <alignment horizontal="right" vertical="center"/>
    </xf>
    <xf numFmtId="0" fontId="46" fillId="0" borderId="123" xfId="0" applyFont="1" applyFill="1" applyBorder="1" applyAlignment="1">
      <alignment horizontal="center" vertical="center"/>
    </xf>
    <xf numFmtId="0" fontId="29" fillId="0" borderId="0" xfId="4" applyFont="1" applyFill="1" applyBorder="1"/>
    <xf numFmtId="0" fontId="56" fillId="0" borderId="0" xfId="0" applyFont="1" applyFill="1" applyAlignment="1">
      <alignment vertical="center"/>
    </xf>
    <xf numFmtId="0" fontId="29" fillId="0" borderId="0" xfId="4" applyFont="1" applyFill="1" applyBorder="1" applyAlignment="1">
      <alignment vertical="center"/>
    </xf>
    <xf numFmtId="0" fontId="60" fillId="0" borderId="0" xfId="0" applyFont="1" applyFill="1" applyAlignment="1">
      <alignment vertical="center"/>
    </xf>
    <xf numFmtId="0" fontId="56" fillId="0" borderId="122" xfId="0" applyFont="1" applyFill="1" applyBorder="1" applyAlignment="1">
      <alignment vertical="center"/>
    </xf>
    <xf numFmtId="0" fontId="46" fillId="0" borderId="122" xfId="0" applyFont="1" applyFill="1" applyBorder="1" applyAlignment="1">
      <alignment horizontal="right" vertical="center"/>
    </xf>
    <xf numFmtId="0" fontId="28" fillId="0" borderId="121" xfId="4" applyFont="1" applyFill="1" applyBorder="1"/>
    <xf numFmtId="0" fontId="46" fillId="0" borderId="123" xfId="0" applyFont="1" applyFill="1" applyBorder="1" applyAlignment="1">
      <alignment horizontal="center" vertical="center" wrapText="1"/>
    </xf>
    <xf numFmtId="0" fontId="28" fillId="0" borderId="0" xfId="4" applyFont="1" applyFill="1" applyBorder="1"/>
    <xf numFmtId="0" fontId="29" fillId="6" borderId="0" xfId="0" applyFont="1" applyFill="1" applyAlignment="1">
      <alignment vertical="center"/>
    </xf>
    <xf numFmtId="0" fontId="28" fillId="6" borderId="0" xfId="4" applyFont="1" applyFill="1" applyBorder="1"/>
    <xf numFmtId="0" fontId="31" fillId="6" borderId="0" xfId="4" applyFont="1" applyFill="1" applyBorder="1" applyAlignment="1">
      <alignment vertical="center"/>
    </xf>
    <xf numFmtId="0" fontId="46" fillId="6" borderId="0" xfId="0" applyFont="1" applyFill="1" applyAlignment="1">
      <alignment horizontal="right" vertical="center"/>
    </xf>
    <xf numFmtId="0" fontId="31" fillId="6" borderId="106" xfId="4" applyFont="1" applyFill="1" applyBorder="1" applyAlignment="1">
      <alignment vertical="center"/>
    </xf>
    <xf numFmtId="0" fontId="22" fillId="6" borderId="0" xfId="0" applyFont="1" applyFill="1" applyBorder="1" applyAlignment="1">
      <alignment horizontal="center" vertical="center"/>
    </xf>
    <xf numFmtId="0" fontId="31" fillId="6" borderId="107" xfId="4" applyFont="1" applyFill="1" applyBorder="1"/>
    <xf numFmtId="177" fontId="22" fillId="6" borderId="0" xfId="0" applyNumberFormat="1" applyFont="1" applyFill="1" applyBorder="1" applyAlignment="1">
      <alignment vertical="center"/>
    </xf>
    <xf numFmtId="0" fontId="31" fillId="6" borderId="0" xfId="4" applyFont="1" applyFill="1" applyBorder="1"/>
    <xf numFmtId="177" fontId="32" fillId="6" borderId="0" xfId="0" applyNumberFormat="1" applyFont="1" applyFill="1" applyBorder="1" applyAlignment="1">
      <alignment vertical="center"/>
    </xf>
    <xf numFmtId="0" fontId="33" fillId="6" borderId="107" xfId="4" applyFont="1" applyFill="1" applyBorder="1"/>
    <xf numFmtId="0" fontId="28" fillId="6" borderId="0" xfId="0" applyFont="1" applyFill="1" applyAlignment="1">
      <alignment vertical="center"/>
    </xf>
    <xf numFmtId="187" fontId="49" fillId="0" borderId="0" xfId="4" applyNumberFormat="1" applyFont="1" applyBorder="1"/>
    <xf numFmtId="187" fontId="29" fillId="0" borderId="0" xfId="4" applyNumberFormat="1" applyFont="1" applyBorder="1" applyAlignment="1">
      <alignment horizontal="right"/>
    </xf>
    <xf numFmtId="0" fontId="63" fillId="5" borderId="66" xfId="3" applyFont="1" applyFill="1" applyBorder="1" applyAlignment="1">
      <alignment horizontal="center" vertical="center"/>
    </xf>
    <xf numFmtId="0" fontId="63" fillId="5" borderId="68" xfId="3" applyFont="1" applyFill="1" applyBorder="1" applyAlignment="1">
      <alignment horizontal="center" vertical="center"/>
    </xf>
    <xf numFmtId="49" fontId="29" fillId="0" borderId="0" xfId="4" applyNumberFormat="1" applyFont="1" applyBorder="1" applyAlignment="1">
      <alignment horizontal="right"/>
    </xf>
    <xf numFmtId="49" fontId="29" fillId="0" borderId="126" xfId="4" applyNumberFormat="1" applyFont="1" applyBorder="1" applyAlignment="1">
      <alignment horizontal="right"/>
    </xf>
    <xf numFmtId="0" fontId="36" fillId="0" borderId="19" xfId="0" applyFont="1" applyFill="1" applyBorder="1" applyAlignment="1">
      <alignment vertical="center"/>
    </xf>
    <xf numFmtId="0" fontId="37" fillId="0" borderId="0" xfId="0" applyFont="1" applyFill="1" applyBorder="1" applyAlignment="1">
      <alignment vertical="center" wrapText="1"/>
    </xf>
    <xf numFmtId="0" fontId="37" fillId="0" borderId="0" xfId="0" applyFont="1" applyFill="1" applyBorder="1" applyAlignment="1">
      <alignment horizontal="center"/>
    </xf>
    <xf numFmtId="0" fontId="37" fillId="0" borderId="0" xfId="0" applyFont="1" applyFill="1" applyBorder="1" applyAlignment="1">
      <alignment horizontal="center" vertical="center" shrinkToFit="1"/>
    </xf>
    <xf numFmtId="38" fontId="37" fillId="0" borderId="0" xfId="6" applyFont="1" applyFill="1" applyBorder="1" applyAlignment="1">
      <alignment horizontal="right" vertical="center"/>
    </xf>
    <xf numFmtId="0" fontId="36" fillId="0" borderId="20" xfId="0" applyFont="1" applyFill="1" applyBorder="1" applyAlignment="1">
      <alignment vertical="center"/>
    </xf>
    <xf numFmtId="38" fontId="25" fillId="0" borderId="63" xfId="1" applyFont="1" applyBorder="1" applyAlignment="1"/>
    <xf numFmtId="38" fontId="25" fillId="0" borderId="0" xfId="1" applyFont="1" applyBorder="1" applyAlignment="1"/>
    <xf numFmtId="38" fontId="25" fillId="0" borderId="21" xfId="1" applyFont="1" applyBorder="1" applyAlignment="1"/>
    <xf numFmtId="0" fontId="8" fillId="0" borderId="0" xfId="0" applyFont="1" applyBorder="1" applyAlignment="1">
      <alignment horizontal="distributed" vertical="center"/>
    </xf>
    <xf numFmtId="178" fontId="8" fillId="0" borderId="36" xfId="0" applyNumberFormat="1" applyFont="1" applyBorder="1" applyAlignment="1" applyProtection="1">
      <alignment vertical="center"/>
      <protection locked="0"/>
    </xf>
    <xf numFmtId="196" fontId="7" fillId="0" borderId="47" xfId="0" applyNumberFormat="1" applyFont="1" applyBorder="1"/>
    <xf numFmtId="0" fontId="7" fillId="0" borderId="20" xfId="0" applyFont="1" applyBorder="1" applyAlignment="1">
      <alignment vertical="center"/>
    </xf>
    <xf numFmtId="0" fontId="7" fillId="0" borderId="104" xfId="0" applyFont="1" applyBorder="1" applyAlignment="1">
      <alignment vertical="center"/>
    </xf>
    <xf numFmtId="0" fontId="7" fillId="0" borderId="56" xfId="0" applyFont="1" applyBorder="1" applyAlignment="1">
      <alignment vertical="center"/>
    </xf>
    <xf numFmtId="0" fontId="8" fillId="0" borderId="119" xfId="0" applyFont="1" applyBorder="1" applyAlignment="1">
      <alignment horizontal="distributed" vertical="center"/>
    </xf>
    <xf numFmtId="38" fontId="25" fillId="0" borderId="62" xfId="1" applyFont="1" applyBorder="1" applyAlignment="1"/>
    <xf numFmtId="38" fontId="25" fillId="0" borderId="19" xfId="1" applyFont="1" applyBorder="1" applyAlignment="1"/>
    <xf numFmtId="38" fontId="25" fillId="0" borderId="65" xfId="1" applyFont="1" applyBorder="1" applyAlignment="1"/>
    <xf numFmtId="177" fontId="28" fillId="0" borderId="3" xfId="4" applyNumberFormat="1" applyFont="1" applyFill="1" applyBorder="1" applyAlignment="1">
      <alignment vertical="center"/>
    </xf>
    <xf numFmtId="183" fontId="28" fillId="0" borderId="3" xfId="4" applyNumberFormat="1" applyFont="1" applyFill="1" applyBorder="1" applyAlignment="1">
      <alignment horizontal="right" vertical="center"/>
    </xf>
    <xf numFmtId="177" fontId="28" fillId="0" borderId="3" xfId="4" applyNumberFormat="1" applyFont="1" applyFill="1" applyBorder="1" applyAlignment="1" applyProtection="1">
      <alignment horizontal="right" vertical="center"/>
      <protection locked="0"/>
    </xf>
    <xf numFmtId="183" fontId="28" fillId="0" borderId="3" xfId="4" applyNumberFormat="1" applyFont="1" applyFill="1" applyBorder="1" applyAlignment="1">
      <alignment vertical="center"/>
    </xf>
    <xf numFmtId="183" fontId="28" fillId="0" borderId="128" xfId="4" applyNumberFormat="1" applyFont="1" applyFill="1" applyBorder="1" applyAlignment="1">
      <alignment vertical="center"/>
    </xf>
    <xf numFmtId="183" fontId="28" fillId="0" borderId="14" xfId="4" applyNumberFormat="1" applyFont="1" applyFill="1" applyBorder="1" applyAlignment="1">
      <alignment vertical="center"/>
    </xf>
    <xf numFmtId="177" fontId="28" fillId="0" borderId="53" xfId="4" applyNumberFormat="1" applyFont="1" applyFill="1" applyBorder="1" applyAlignment="1" applyProtection="1">
      <alignment horizontal="right" vertical="center"/>
      <protection locked="0"/>
    </xf>
    <xf numFmtId="177" fontId="28" fillId="0" borderId="53" xfId="4" applyNumberFormat="1" applyFont="1" applyFill="1" applyBorder="1" applyAlignment="1">
      <alignment vertical="center"/>
    </xf>
    <xf numFmtId="177" fontId="28" fillId="0" borderId="4" xfId="4" applyNumberFormat="1" applyFont="1" applyFill="1" applyBorder="1" applyAlignment="1">
      <alignment vertical="center"/>
    </xf>
    <xf numFmtId="183" fontId="28" fillId="0" borderId="20" xfId="4" applyNumberFormat="1" applyFont="1" applyFill="1" applyBorder="1" applyAlignment="1">
      <alignment vertical="center"/>
    </xf>
    <xf numFmtId="177" fontId="28" fillId="0" borderId="4" xfId="4" applyNumberFormat="1" applyFont="1" applyFill="1" applyBorder="1" applyAlignment="1" applyProtection="1">
      <alignment vertical="center"/>
      <protection locked="0"/>
    </xf>
    <xf numFmtId="0" fontId="28" fillId="0" borderId="3" xfId="0" applyFont="1" applyFill="1" applyBorder="1" applyAlignment="1">
      <alignment horizontal="center" vertical="center"/>
    </xf>
    <xf numFmtId="177" fontId="28" fillId="6" borderId="3" xfId="0" applyNumberFormat="1" applyFont="1" applyFill="1" applyBorder="1" applyAlignment="1">
      <alignment horizontal="center" vertical="center"/>
    </xf>
    <xf numFmtId="176" fontId="28" fillId="0" borderId="4" xfId="0" applyNumberFormat="1" applyFont="1" applyFill="1" applyBorder="1" applyAlignment="1">
      <alignment vertical="center"/>
    </xf>
    <xf numFmtId="178" fontId="29" fillId="0" borderId="4" xfId="0" applyNumberFormat="1" applyFont="1" applyFill="1" applyBorder="1" applyAlignment="1">
      <alignment vertical="center"/>
    </xf>
    <xf numFmtId="176" fontId="29" fillId="0" borderId="4" xfId="0" applyNumberFormat="1" applyFont="1" applyFill="1" applyBorder="1" applyAlignment="1">
      <alignment vertical="center"/>
    </xf>
    <xf numFmtId="178" fontId="28" fillId="0" borderId="4" xfId="0" applyNumberFormat="1" applyFont="1" applyFill="1" applyBorder="1" applyAlignment="1">
      <alignment vertical="center"/>
    </xf>
    <xf numFmtId="177" fontId="28" fillId="0" borderId="4" xfId="0" applyNumberFormat="1" applyFont="1" applyFill="1" applyBorder="1" applyAlignment="1">
      <alignment vertical="center"/>
    </xf>
    <xf numFmtId="182" fontId="28" fillId="0" borderId="4" xfId="0" applyNumberFormat="1" applyFont="1" applyFill="1" applyBorder="1" applyAlignment="1">
      <alignment vertical="center"/>
    </xf>
    <xf numFmtId="0" fontId="28" fillId="0" borderId="61" xfId="0" applyFont="1" applyFill="1" applyBorder="1" applyAlignment="1">
      <alignment vertical="center"/>
    </xf>
    <xf numFmtId="0" fontId="28" fillId="0" borderId="45" xfId="0" applyFont="1" applyFill="1" applyBorder="1" applyAlignment="1">
      <alignment horizontal="distributed" vertical="center"/>
    </xf>
    <xf numFmtId="176" fontId="28" fillId="0" borderId="3" xfId="0" applyNumberFormat="1" applyFont="1" applyFill="1" applyBorder="1" applyAlignment="1" applyProtection="1">
      <alignment vertical="center"/>
      <protection locked="0"/>
    </xf>
    <xf numFmtId="178" fontId="29" fillId="0" borderId="3" xfId="0" applyNumberFormat="1" applyFont="1" applyFill="1" applyBorder="1" applyAlignment="1">
      <alignment vertical="center"/>
    </xf>
    <xf numFmtId="180" fontId="29" fillId="0" borderId="3" xfId="0" applyNumberFormat="1" applyFont="1" applyFill="1" applyBorder="1" applyAlignment="1">
      <alignment vertical="center"/>
    </xf>
    <xf numFmtId="176" fontId="29" fillId="0" borderId="3" xfId="0" applyNumberFormat="1" applyFont="1" applyFill="1" applyBorder="1" applyAlignment="1">
      <alignment vertical="center"/>
    </xf>
    <xf numFmtId="178" fontId="28" fillId="0" borderId="3" xfId="0" applyNumberFormat="1" applyFont="1" applyFill="1" applyBorder="1" applyAlignment="1">
      <alignment vertical="center"/>
    </xf>
    <xf numFmtId="180" fontId="28" fillId="0" borderId="3" xfId="0" applyNumberFormat="1" applyFont="1" applyFill="1" applyBorder="1" applyAlignment="1">
      <alignment vertical="center"/>
    </xf>
    <xf numFmtId="176" fontId="28" fillId="0" borderId="3" xfId="0" applyNumberFormat="1" applyFont="1" applyFill="1" applyBorder="1" applyAlignment="1">
      <alignment vertical="center"/>
    </xf>
    <xf numFmtId="177" fontId="28" fillId="0" borderId="3" xfId="0" applyNumberFormat="1" applyFont="1" applyFill="1" applyBorder="1" applyAlignment="1">
      <alignment vertical="center"/>
    </xf>
    <xf numFmtId="182" fontId="28" fillId="0" borderId="3" xfId="0" applyNumberFormat="1" applyFont="1" applyFill="1" applyBorder="1" applyAlignment="1">
      <alignment vertical="center"/>
    </xf>
    <xf numFmtId="182" fontId="28" fillId="0" borderId="3" xfId="0" applyNumberFormat="1" applyFont="1" applyFill="1" applyBorder="1" applyAlignment="1">
      <alignment horizontal="right" vertical="center"/>
    </xf>
    <xf numFmtId="0" fontId="28" fillId="0" borderId="45" xfId="0" applyFont="1" applyFill="1" applyBorder="1" applyAlignment="1">
      <alignment horizontal="center" vertical="center" shrinkToFit="1"/>
    </xf>
    <xf numFmtId="176" fontId="28" fillId="0" borderId="3" xfId="0" applyNumberFormat="1" applyFont="1" applyFill="1" applyBorder="1" applyAlignment="1" applyProtection="1">
      <alignment horizontal="right" vertical="center"/>
      <protection locked="0"/>
    </xf>
    <xf numFmtId="0" fontId="28" fillId="0" borderId="51" xfId="0" applyFont="1" applyFill="1" applyBorder="1" applyAlignment="1">
      <alignment vertical="center"/>
    </xf>
    <xf numFmtId="0" fontId="28" fillId="0" borderId="52" xfId="0" applyFont="1" applyFill="1" applyBorder="1" applyAlignment="1">
      <alignment horizontal="distributed" vertical="center"/>
    </xf>
    <xf numFmtId="176" fontId="28" fillId="0" borderId="53" xfId="0" applyNumberFormat="1" applyFont="1" applyFill="1" applyBorder="1" applyAlignment="1" applyProtection="1">
      <alignment vertical="center"/>
      <protection locked="0"/>
    </xf>
    <xf numFmtId="178" fontId="29" fillId="0" borderId="53" xfId="0" applyNumberFormat="1" applyFont="1" applyFill="1" applyBorder="1" applyAlignment="1">
      <alignment vertical="center"/>
    </xf>
    <xf numFmtId="180" fontId="29" fillId="0" borderId="53" xfId="0" applyNumberFormat="1" applyFont="1" applyFill="1" applyBorder="1" applyAlignment="1">
      <alignment vertical="center"/>
    </xf>
    <xf numFmtId="176" fontId="29" fillId="0" borderId="53" xfId="0" applyNumberFormat="1" applyFont="1" applyFill="1" applyBorder="1" applyAlignment="1">
      <alignment vertical="center"/>
    </xf>
    <xf numFmtId="178" fontId="28" fillId="0" borderId="53" xfId="0" applyNumberFormat="1" applyFont="1" applyFill="1" applyBorder="1" applyAlignment="1">
      <alignment vertical="center"/>
    </xf>
    <xf numFmtId="180" fontId="28" fillId="0" borderId="53" xfId="0" applyNumberFormat="1" applyFont="1" applyFill="1" applyBorder="1" applyAlignment="1">
      <alignment vertical="center"/>
    </xf>
    <xf numFmtId="176" fontId="28" fillId="0" borderId="53" xfId="0" applyNumberFormat="1" applyFont="1" applyFill="1" applyBorder="1" applyAlignment="1">
      <alignment vertical="center"/>
    </xf>
    <xf numFmtId="177" fontId="28" fillId="0" borderId="53" xfId="0" applyNumberFormat="1" applyFont="1" applyFill="1" applyBorder="1" applyAlignment="1">
      <alignment vertical="center"/>
    </xf>
    <xf numFmtId="182" fontId="28" fillId="0" borderId="53" xfId="0" applyNumberFormat="1" applyFont="1" applyFill="1" applyBorder="1" applyAlignment="1">
      <alignment vertical="center"/>
    </xf>
    <xf numFmtId="0" fontId="28" fillId="6" borderId="3" xfId="0" applyFont="1" applyFill="1" applyBorder="1" applyAlignment="1">
      <alignment horizontal="center" vertical="center"/>
    </xf>
    <xf numFmtId="179" fontId="29" fillId="0" borderId="3" xfId="0" applyNumberFormat="1" applyFont="1" applyFill="1" applyBorder="1" applyAlignment="1">
      <alignment vertical="center"/>
    </xf>
    <xf numFmtId="179" fontId="28" fillId="0" borderId="3" xfId="0" applyNumberFormat="1" applyFont="1" applyFill="1" applyBorder="1" applyAlignment="1">
      <alignment vertical="center"/>
    </xf>
    <xf numFmtId="179" fontId="29" fillId="0" borderId="53" xfId="0" applyNumberFormat="1" applyFont="1" applyFill="1" applyBorder="1" applyAlignment="1">
      <alignment vertical="center"/>
    </xf>
    <xf numFmtId="179" fontId="28" fillId="0" borderId="53" xfId="0" applyNumberFormat="1" applyFont="1" applyFill="1" applyBorder="1" applyAlignment="1">
      <alignment vertical="center"/>
    </xf>
    <xf numFmtId="0" fontId="28" fillId="0" borderId="71" xfId="0" applyFont="1" applyFill="1" applyBorder="1" applyAlignment="1">
      <alignment vertical="center"/>
    </xf>
    <xf numFmtId="0" fontId="28" fillId="0" borderId="22" xfId="0" applyFont="1" applyFill="1" applyBorder="1" applyAlignment="1">
      <alignment vertical="center"/>
    </xf>
    <xf numFmtId="0" fontId="28" fillId="0" borderId="4" xfId="0" applyFont="1" applyFill="1" applyBorder="1" applyAlignment="1">
      <alignment vertical="center"/>
    </xf>
    <xf numFmtId="0" fontId="28" fillId="0" borderId="71" xfId="4" applyFont="1" applyFill="1" applyBorder="1" applyAlignment="1">
      <alignment vertical="center"/>
    </xf>
    <xf numFmtId="0" fontId="28" fillId="0" borderId="22" xfId="4" applyFont="1" applyFill="1" applyBorder="1" applyAlignment="1">
      <alignment vertical="center"/>
    </xf>
    <xf numFmtId="0" fontId="28" fillId="0" borderId="4" xfId="4" applyFont="1" applyFill="1" applyBorder="1" applyAlignment="1">
      <alignment vertical="center"/>
    </xf>
    <xf numFmtId="0" fontId="28" fillId="0" borderId="45" xfId="0" applyFont="1" applyBorder="1" applyAlignment="1">
      <alignment horizontal="center" vertical="center"/>
    </xf>
    <xf numFmtId="0" fontId="28" fillId="0" borderId="61" xfId="0" applyFont="1" applyFill="1" applyBorder="1" applyAlignment="1">
      <alignment horizontal="center" vertical="center"/>
    </xf>
    <xf numFmtId="0" fontId="28" fillId="0" borderId="52" xfId="0" applyFont="1" applyFill="1" applyBorder="1" applyAlignment="1">
      <alignment horizontal="center" vertical="center"/>
    </xf>
    <xf numFmtId="177" fontId="28" fillId="0" borderId="3" xfId="0" applyNumberFormat="1" applyFont="1" applyFill="1" applyBorder="1" applyAlignment="1">
      <alignment horizontal="center" vertical="center"/>
    </xf>
    <xf numFmtId="0" fontId="28" fillId="0" borderId="61" xfId="0" applyFont="1" applyFill="1" applyBorder="1" applyAlignment="1">
      <alignment horizontal="distributed" vertical="center"/>
    </xf>
    <xf numFmtId="0" fontId="28" fillId="0" borderId="61" xfId="0" applyFont="1" applyFill="1" applyBorder="1" applyAlignment="1">
      <alignment horizontal="centerContinuous" vertical="center" shrinkToFit="1"/>
    </xf>
    <xf numFmtId="0" fontId="36" fillId="0" borderId="19" xfId="0" quotePrefix="1" applyFont="1" applyFill="1" applyBorder="1" applyAlignment="1">
      <alignment horizontal="center" vertical="center"/>
    </xf>
    <xf numFmtId="0" fontId="36" fillId="0" borderId="0" xfId="0" quotePrefix="1" applyFont="1" applyFill="1" applyBorder="1" applyAlignment="1">
      <alignment horizontal="center" vertical="center"/>
    </xf>
    <xf numFmtId="38" fontId="36" fillId="0" borderId="0" xfId="6" quotePrefix="1" applyFont="1" applyFill="1" applyBorder="1" applyAlignment="1">
      <alignment horizontal="center" vertical="center"/>
    </xf>
    <xf numFmtId="0" fontId="36" fillId="0" borderId="0" xfId="0" applyFont="1" applyFill="1" applyBorder="1" applyAlignment="1">
      <alignment horizontal="right"/>
    </xf>
    <xf numFmtId="38" fontId="36" fillId="0" borderId="20" xfId="6" quotePrefix="1" applyFont="1" applyFill="1" applyBorder="1" applyAlignment="1">
      <alignment horizontal="center" vertical="center"/>
    </xf>
    <xf numFmtId="0" fontId="36" fillId="0" borderId="61" xfId="0" applyFont="1" applyFill="1" applyBorder="1" applyAlignment="1">
      <alignment vertical="center"/>
    </xf>
    <xf numFmtId="0" fontId="37" fillId="0" borderId="45" xfId="0" applyFont="1" applyFill="1" applyBorder="1" applyAlignment="1">
      <alignment vertical="center" wrapText="1"/>
    </xf>
    <xf numFmtId="0" fontId="37" fillId="0" borderId="45" xfId="0" applyFont="1" applyFill="1" applyBorder="1" applyAlignment="1">
      <alignment horizontal="center"/>
    </xf>
    <xf numFmtId="0" fontId="37" fillId="0" borderId="45" xfId="0" applyFont="1" applyFill="1" applyBorder="1" applyAlignment="1">
      <alignment horizontal="center" vertical="center" shrinkToFit="1"/>
    </xf>
    <xf numFmtId="38" fontId="37" fillId="0" borderId="45" xfId="6" applyFont="1" applyFill="1" applyBorder="1" applyAlignment="1">
      <alignment horizontal="right" vertical="center"/>
    </xf>
    <xf numFmtId="0" fontId="36" fillId="0" borderId="46" xfId="0" applyFont="1" applyFill="1" applyBorder="1" applyAlignment="1">
      <alignment vertical="center"/>
    </xf>
    <xf numFmtId="38" fontId="37" fillId="0" borderId="45" xfId="6" applyFont="1" applyFill="1" applyBorder="1" applyAlignment="1">
      <alignment vertical="center" wrapText="1"/>
    </xf>
    <xf numFmtId="38" fontId="37" fillId="0" borderId="0" xfId="6" applyFont="1" applyFill="1" applyBorder="1" applyAlignment="1">
      <alignment vertical="distributed"/>
    </xf>
    <xf numFmtId="38" fontId="37" fillId="0" borderId="45" xfId="6" applyFont="1" applyFill="1" applyBorder="1" applyAlignment="1">
      <alignment vertical="distributed"/>
    </xf>
    <xf numFmtId="38" fontId="37" fillId="0" borderId="21" xfId="6" applyFont="1" applyFill="1" applyBorder="1" applyAlignment="1">
      <alignment vertical="distributed"/>
    </xf>
    <xf numFmtId="0" fontId="36" fillId="0" borderId="20" xfId="0" quotePrefix="1" applyFont="1" applyFill="1" applyBorder="1" applyAlignment="1">
      <alignment horizontal="center" vertical="center"/>
    </xf>
    <xf numFmtId="0" fontId="37" fillId="0" borderId="19" xfId="0" applyFont="1" applyFill="1" applyBorder="1" applyAlignment="1">
      <alignment horizontal="center"/>
    </xf>
    <xf numFmtId="0" fontId="37" fillId="0" borderId="20" xfId="0" quotePrefix="1" applyFont="1" applyFill="1" applyBorder="1" applyAlignment="1">
      <alignment horizontal="center" vertical="center"/>
    </xf>
    <xf numFmtId="0" fontId="37" fillId="0" borderId="61" xfId="0" applyFont="1" applyFill="1" applyBorder="1" applyAlignment="1">
      <alignment horizontal="center"/>
    </xf>
    <xf numFmtId="0" fontId="37" fillId="0" borderId="46" xfId="0" quotePrefix="1" applyFont="1" applyFill="1" applyBorder="1" applyAlignment="1">
      <alignment horizontal="center" vertical="center"/>
    </xf>
    <xf numFmtId="0" fontId="37" fillId="0" borderId="65" xfId="0" applyFont="1" applyFill="1" applyBorder="1" applyAlignment="1">
      <alignment horizontal="center"/>
    </xf>
    <xf numFmtId="0" fontId="37" fillId="0" borderId="14" xfId="0" quotePrefix="1" applyFont="1" applyFill="1" applyBorder="1" applyAlignment="1">
      <alignment horizontal="center" vertical="center"/>
    </xf>
    <xf numFmtId="0" fontId="36" fillId="0" borderId="61" xfId="5" applyFont="1" applyFill="1" applyBorder="1" applyAlignment="1">
      <alignment horizontal="center" vertical="center"/>
    </xf>
    <xf numFmtId="0" fontId="36" fillId="0" borderId="45" xfId="5" applyFont="1" applyFill="1" applyBorder="1" applyAlignment="1">
      <alignment horizontal="center" vertical="center"/>
    </xf>
    <xf numFmtId="0" fontId="36" fillId="0" borderId="46" xfId="5" applyFont="1" applyFill="1" applyBorder="1" applyAlignment="1">
      <alignment horizontal="left" vertical="center"/>
    </xf>
    <xf numFmtId="0" fontId="36" fillId="0" borderId="61" xfId="5" applyFont="1" applyFill="1" applyBorder="1" applyAlignment="1">
      <alignment horizontal="left" vertical="top" wrapText="1"/>
    </xf>
    <xf numFmtId="0" fontId="36" fillId="3" borderId="61" xfId="5" applyFont="1" applyFill="1" applyBorder="1" applyAlignment="1">
      <alignment horizontal="left" vertical="top" wrapText="1"/>
    </xf>
    <xf numFmtId="0" fontId="25" fillId="0" borderId="61" xfId="5" applyFont="1" applyFill="1" applyBorder="1" applyAlignment="1">
      <alignment horizontal="left" vertical="top" wrapText="1"/>
    </xf>
    <xf numFmtId="0" fontId="25" fillId="3" borderId="61" xfId="5" applyFont="1" applyFill="1" applyBorder="1" applyAlignment="1">
      <alignment horizontal="left" vertical="top" wrapText="1"/>
    </xf>
    <xf numFmtId="0" fontId="36" fillId="0" borderId="61" xfId="5" applyFont="1" applyFill="1" applyBorder="1" applyAlignment="1">
      <alignment horizontal="center" vertical="top" wrapText="1"/>
    </xf>
    <xf numFmtId="0" fontId="36" fillId="3" borderId="61" xfId="5" applyFont="1" applyFill="1" applyBorder="1" applyAlignment="1">
      <alignment horizontal="center" vertical="top" wrapText="1"/>
    </xf>
    <xf numFmtId="0" fontId="36" fillId="0" borderId="61" xfId="5" applyFont="1" applyFill="1" applyBorder="1"/>
    <xf numFmtId="0" fontId="36" fillId="0" borderId="20" xfId="5" applyFont="1" applyFill="1" applyBorder="1" applyAlignment="1">
      <alignment horizontal="center"/>
    </xf>
    <xf numFmtId="49" fontId="36" fillId="0" borderId="45" xfId="5" applyNumberFormat="1" applyFont="1" applyFill="1" applyBorder="1" applyAlignment="1">
      <alignment horizontal="center" vertical="center"/>
    </xf>
    <xf numFmtId="49" fontId="25" fillId="0" borderId="0" xfId="6" applyNumberFormat="1" applyFont="1" applyFill="1" applyBorder="1" applyAlignment="1">
      <alignment vertical="top" wrapText="1"/>
    </xf>
    <xf numFmtId="49" fontId="36" fillId="0" borderId="46" xfId="5" applyNumberFormat="1" applyFont="1" applyFill="1" applyBorder="1" applyAlignment="1">
      <alignment horizontal="left" vertical="center"/>
    </xf>
    <xf numFmtId="0" fontId="25" fillId="0" borderId="19" xfId="5" applyFont="1" applyFill="1" applyBorder="1" applyAlignment="1">
      <alignment horizontal="left" vertical="top" wrapText="1"/>
    </xf>
    <xf numFmtId="49" fontId="36" fillId="0" borderId="20" xfId="6" applyNumberFormat="1" applyFont="1" applyFill="1" applyBorder="1" applyAlignment="1">
      <alignment vertical="top" wrapText="1"/>
    </xf>
    <xf numFmtId="38" fontId="36" fillId="0" borderId="20" xfId="6" applyFont="1" applyFill="1" applyBorder="1" applyAlignment="1">
      <alignment vertical="distributed" wrapText="1"/>
    </xf>
    <xf numFmtId="0" fontId="36" fillId="0" borderId="65" xfId="5" applyFont="1" applyFill="1" applyBorder="1" applyAlignment="1">
      <alignment horizontal="center" vertical="top" wrapText="1"/>
    </xf>
    <xf numFmtId="38" fontId="36" fillId="0" borderId="14" xfId="6" applyFont="1" applyFill="1" applyBorder="1" applyAlignment="1">
      <alignment vertical="distributed" wrapText="1"/>
    </xf>
    <xf numFmtId="0" fontId="36" fillId="0" borderId="21" xfId="5" applyFont="1" applyFill="1" applyBorder="1" applyAlignment="1">
      <alignment horizontal="center" vertical="top" wrapText="1"/>
    </xf>
    <xf numFmtId="38" fontId="36" fillId="0" borderId="61" xfId="6" applyFont="1" applyFill="1" applyBorder="1" applyAlignment="1">
      <alignment horizontal="center" vertical="center"/>
    </xf>
    <xf numFmtId="0" fontId="36" fillId="0" borderId="46" xfId="5" applyFont="1" applyFill="1" applyBorder="1" applyAlignment="1">
      <alignment horizontal="center" vertical="center"/>
    </xf>
    <xf numFmtId="38" fontId="36" fillId="0" borderId="19" xfId="6" applyFont="1" applyFill="1" applyBorder="1" applyAlignment="1">
      <alignment horizontal="right"/>
    </xf>
    <xf numFmtId="0" fontId="36" fillId="0" borderId="0" xfId="5" applyFont="1" applyFill="1" applyBorder="1" applyAlignment="1">
      <alignment vertical="center"/>
    </xf>
    <xf numFmtId="0" fontId="36" fillId="0" borderId="46" xfId="5" applyFont="1" applyFill="1" applyBorder="1" applyAlignment="1">
      <alignment vertical="center"/>
    </xf>
    <xf numFmtId="0" fontId="36" fillId="0" borderId="46" xfId="5" applyFont="1" applyFill="1" applyBorder="1" applyAlignment="1">
      <alignment vertical="center" wrapText="1"/>
    </xf>
    <xf numFmtId="38" fontId="36" fillId="0" borderId="19" xfId="6" applyFont="1" applyFill="1" applyBorder="1" applyAlignment="1">
      <alignment vertical="center"/>
    </xf>
    <xf numFmtId="0" fontId="36" fillId="0" borderId="20" xfId="5" applyFont="1" applyFill="1" applyBorder="1" applyAlignment="1">
      <alignment horizontal="left" vertical="top" wrapText="1"/>
    </xf>
    <xf numFmtId="38" fontId="36" fillId="0" borderId="61" xfId="6" applyFont="1" applyFill="1" applyBorder="1" applyAlignment="1">
      <alignment vertical="center"/>
    </xf>
    <xf numFmtId="0" fontId="36" fillId="0" borderId="46" xfId="5" applyFont="1" applyFill="1" applyBorder="1" applyAlignment="1">
      <alignment horizontal="left" vertical="top" wrapText="1"/>
    </xf>
    <xf numFmtId="0" fontId="25" fillId="0" borderId="46" xfId="5" applyFont="1" applyFill="1" applyBorder="1" applyAlignment="1">
      <alignment horizontal="left" vertical="top" wrapText="1"/>
    </xf>
    <xf numFmtId="0" fontId="36" fillId="0" borderId="46" xfId="5" applyFont="1" applyFill="1" applyBorder="1" applyAlignment="1">
      <alignment horizontal="center" vertical="top" wrapText="1"/>
    </xf>
    <xf numFmtId="0" fontId="36" fillId="0" borderId="46" xfId="5" applyFont="1" applyFill="1" applyBorder="1"/>
    <xf numFmtId="0" fontId="0" fillId="0" borderId="3" xfId="0" applyBorder="1"/>
    <xf numFmtId="38" fontId="0" fillId="0" borderId="3" xfId="1" applyFont="1" applyBorder="1"/>
    <xf numFmtId="38" fontId="0" fillId="0" borderId="3" xfId="1" applyFont="1" applyBorder="1" applyAlignment="1">
      <alignment horizontal="right"/>
    </xf>
    <xf numFmtId="38" fontId="0" fillId="0" borderId="0" xfId="1" applyFont="1"/>
    <xf numFmtId="0" fontId="65" fillId="0" borderId="0" xfId="0" applyFont="1"/>
    <xf numFmtId="0" fontId="27" fillId="0" borderId="0" xfId="13" applyFont="1">
      <alignment vertical="center"/>
    </xf>
    <xf numFmtId="176" fontId="27" fillId="0" borderId="0" xfId="13" applyNumberFormat="1" applyFont="1">
      <alignment vertical="center"/>
    </xf>
    <xf numFmtId="0" fontId="66" fillId="0" borderId="0" xfId="13" applyFont="1">
      <alignment vertical="center"/>
    </xf>
    <xf numFmtId="3" fontId="67" fillId="10" borderId="46" xfId="13" applyNumberFormat="1" applyFont="1" applyFill="1" applyBorder="1" applyAlignment="1">
      <alignment vertical="center"/>
    </xf>
    <xf numFmtId="0" fontId="67" fillId="10" borderId="45" xfId="13" applyFont="1" applyFill="1" applyBorder="1" applyAlignment="1">
      <alignment vertical="center"/>
    </xf>
    <xf numFmtId="0" fontId="67" fillId="10" borderId="61" xfId="13" applyFont="1" applyFill="1" applyBorder="1" applyAlignment="1">
      <alignment horizontal="right" vertical="center"/>
    </xf>
    <xf numFmtId="176" fontId="27" fillId="0" borderId="3" xfId="13" applyNumberFormat="1" applyFont="1" applyFill="1" applyBorder="1">
      <alignment vertical="center"/>
    </xf>
    <xf numFmtId="0" fontId="27" fillId="0" borderId="3" xfId="13" applyFont="1" applyFill="1" applyBorder="1" applyAlignment="1">
      <alignment vertical="center" shrinkToFit="1"/>
    </xf>
    <xf numFmtId="176" fontId="27" fillId="0" borderId="22" xfId="13" applyNumberFormat="1" applyFont="1" applyFill="1" applyBorder="1">
      <alignment vertical="center"/>
    </xf>
    <xf numFmtId="0" fontId="27" fillId="0" borderId="22" xfId="13" applyFont="1" applyFill="1" applyBorder="1">
      <alignment vertical="center"/>
    </xf>
    <xf numFmtId="0" fontId="27" fillId="0" borderId="3" xfId="13" applyFont="1" applyFill="1" applyBorder="1">
      <alignment vertical="center"/>
    </xf>
    <xf numFmtId="38" fontId="27" fillId="0" borderId="3" xfId="14" applyFont="1" applyFill="1" applyBorder="1">
      <alignment vertical="center"/>
    </xf>
    <xf numFmtId="0" fontId="27" fillId="0" borderId="3" xfId="13" applyNumberFormat="1" applyFont="1" applyFill="1" applyBorder="1">
      <alignment vertical="center"/>
    </xf>
    <xf numFmtId="176" fontId="27" fillId="0" borderId="4" xfId="13" applyNumberFormat="1" applyFont="1" applyFill="1" applyBorder="1">
      <alignment vertical="center"/>
    </xf>
    <xf numFmtId="0" fontId="27" fillId="0" borderId="4" xfId="13" applyFont="1" applyFill="1" applyBorder="1">
      <alignment vertical="center"/>
    </xf>
    <xf numFmtId="176" fontId="27" fillId="0" borderId="71" xfId="13" applyNumberFormat="1" applyFont="1" applyFill="1" applyBorder="1">
      <alignment vertical="center"/>
    </xf>
    <xf numFmtId="0" fontId="27" fillId="0" borderId="71" xfId="13" applyFont="1" applyFill="1" applyBorder="1">
      <alignment vertical="center"/>
    </xf>
    <xf numFmtId="176" fontId="27" fillId="0" borderId="132" xfId="13" applyNumberFormat="1" applyFont="1" applyFill="1" applyBorder="1">
      <alignment vertical="center"/>
    </xf>
    <xf numFmtId="0" fontId="27" fillId="0" borderId="132" xfId="13" applyFont="1" applyFill="1" applyBorder="1">
      <alignment vertical="center"/>
    </xf>
    <xf numFmtId="176" fontId="52" fillId="0" borderId="22" xfId="13" applyNumberFormat="1" applyFont="1" applyFill="1" applyBorder="1">
      <alignment vertical="center"/>
    </xf>
    <xf numFmtId="0" fontId="52" fillId="0" borderId="22" xfId="13" applyFont="1" applyFill="1" applyBorder="1">
      <alignment vertical="center"/>
    </xf>
    <xf numFmtId="176" fontId="27" fillId="0" borderId="3" xfId="13" applyNumberFormat="1" applyFont="1" applyFill="1" applyBorder="1" applyAlignment="1">
      <alignment horizontal="center" vertical="center"/>
    </xf>
    <xf numFmtId="0" fontId="27" fillId="0" borderId="3" xfId="13" applyFont="1" applyFill="1" applyBorder="1" applyAlignment="1">
      <alignment horizontal="center" vertical="center"/>
    </xf>
    <xf numFmtId="176" fontId="27" fillId="0" borderId="0" xfId="13" applyNumberFormat="1" applyFont="1" applyFill="1" applyAlignment="1">
      <alignment horizontal="right" vertical="center"/>
    </xf>
    <xf numFmtId="0" fontId="27" fillId="0" borderId="0" xfId="13" applyFont="1" applyFill="1">
      <alignment vertical="center"/>
    </xf>
    <xf numFmtId="176" fontId="27" fillId="0" borderId="0" xfId="13" applyNumberFormat="1" applyFont="1" applyFill="1">
      <alignment vertical="center"/>
    </xf>
    <xf numFmtId="0" fontId="66" fillId="0" borderId="0" xfId="13" applyFont="1" applyFill="1">
      <alignment vertical="center"/>
    </xf>
    <xf numFmtId="0" fontId="20" fillId="0" borderId="0" xfId="13" applyFont="1">
      <alignment vertical="center"/>
    </xf>
    <xf numFmtId="0" fontId="28" fillId="0" borderId="0" xfId="13" applyFont="1" applyFill="1">
      <alignment vertical="center"/>
    </xf>
    <xf numFmtId="177" fontId="28" fillId="0" borderId="0" xfId="13" applyNumberFormat="1" applyFont="1" applyFill="1">
      <alignment vertical="center"/>
    </xf>
    <xf numFmtId="0" fontId="28" fillId="0" borderId="0" xfId="13" applyFont="1" applyFill="1" applyAlignment="1">
      <alignment vertical="center" wrapText="1"/>
    </xf>
    <xf numFmtId="0" fontId="28" fillId="0" borderId="0" xfId="13" applyFont="1" applyFill="1" applyAlignment="1">
      <alignment horizontal="center" vertical="center"/>
    </xf>
    <xf numFmtId="0" fontId="27" fillId="0" borderId="0" xfId="13" applyFont="1" applyFill="1" applyAlignment="1">
      <alignment horizontal="left" vertical="center"/>
    </xf>
    <xf numFmtId="0" fontId="28" fillId="0" borderId="63" xfId="13" applyFont="1" applyFill="1" applyBorder="1">
      <alignment vertical="center"/>
    </xf>
    <xf numFmtId="0" fontId="67" fillId="10" borderId="45" xfId="13" applyFont="1" applyFill="1" applyBorder="1" applyAlignment="1">
      <alignment vertical="center" wrapText="1"/>
    </xf>
    <xf numFmtId="0" fontId="23" fillId="10" borderId="61" xfId="13" applyFont="1" applyFill="1" applyBorder="1" applyAlignment="1">
      <alignment horizontal="right" vertical="center" shrinkToFit="1"/>
    </xf>
    <xf numFmtId="0" fontId="71" fillId="11" borderId="45" xfId="13" applyFont="1" applyFill="1" applyBorder="1" applyAlignment="1">
      <alignment vertical="center" shrinkToFit="1"/>
    </xf>
    <xf numFmtId="0" fontId="71" fillId="11" borderId="45" xfId="13" applyFont="1" applyFill="1" applyBorder="1" applyAlignment="1">
      <alignment vertical="center" wrapText="1" shrinkToFit="1"/>
    </xf>
    <xf numFmtId="0" fontId="70" fillId="11" borderId="61" xfId="13" applyFont="1" applyFill="1" applyBorder="1" applyAlignment="1">
      <alignment vertical="center" shrinkToFit="1"/>
    </xf>
    <xf numFmtId="177" fontId="27" fillId="0" borderId="3" xfId="13" applyNumberFormat="1" applyFont="1" applyFill="1" applyBorder="1" applyAlignment="1">
      <alignment vertical="center" shrinkToFit="1"/>
    </xf>
    <xf numFmtId="0" fontId="25" fillId="0" borderId="3" xfId="13" applyFont="1" applyFill="1" applyBorder="1" applyAlignment="1">
      <alignment vertical="center" wrapText="1" shrinkToFit="1"/>
    </xf>
    <xf numFmtId="0" fontId="27" fillId="0" borderId="3" xfId="13" applyFont="1" applyFill="1" applyBorder="1" applyAlignment="1">
      <alignment horizontal="center" vertical="center" shrinkToFit="1"/>
    </xf>
    <xf numFmtId="0" fontId="27" fillId="0" borderId="3" xfId="13" applyFont="1" applyFill="1" applyBorder="1" applyAlignment="1">
      <alignment vertical="center" wrapText="1" shrinkToFit="1"/>
    </xf>
    <xf numFmtId="0" fontId="74" fillId="11" borderId="45" xfId="13" applyFont="1" applyFill="1" applyBorder="1" applyAlignment="1">
      <alignment vertical="center" wrapText="1" shrinkToFit="1"/>
    </xf>
    <xf numFmtId="0" fontId="75" fillId="11" borderId="45" xfId="13" applyFont="1" applyFill="1" applyBorder="1" applyAlignment="1">
      <alignment vertical="center" shrinkToFit="1"/>
    </xf>
    <xf numFmtId="0" fontId="70" fillId="11" borderId="61" xfId="13" applyFont="1" applyFill="1" applyBorder="1" applyAlignment="1">
      <alignment vertical="center" wrapText="1" shrinkToFit="1"/>
    </xf>
    <xf numFmtId="177" fontId="27" fillId="0" borderId="3" xfId="14" applyNumberFormat="1" applyFont="1" applyFill="1" applyBorder="1" applyAlignment="1">
      <alignment vertical="center" shrinkToFit="1"/>
    </xf>
    <xf numFmtId="0" fontId="27" fillId="0" borderId="45" xfId="13" applyFont="1" applyFill="1" applyBorder="1" applyAlignment="1">
      <alignment vertical="center" shrinkToFit="1"/>
    </xf>
    <xf numFmtId="177" fontId="76" fillId="0" borderId="3" xfId="13" applyNumberFormat="1" applyFont="1" applyFill="1" applyBorder="1" applyAlignment="1">
      <alignment vertical="center" shrinkToFit="1"/>
    </xf>
    <xf numFmtId="177" fontId="76" fillId="0" borderId="3" xfId="14" applyNumberFormat="1" applyFont="1" applyFill="1" applyBorder="1" applyAlignment="1">
      <alignment vertical="center" shrinkToFit="1"/>
    </xf>
    <xf numFmtId="0" fontId="72" fillId="0" borderId="3" xfId="13" applyFont="1" applyFill="1" applyBorder="1" applyAlignment="1">
      <alignment vertical="center" wrapText="1" shrinkToFit="1"/>
    </xf>
    <xf numFmtId="0" fontId="76" fillId="0" borderId="3" xfId="13" applyFont="1" applyFill="1" applyBorder="1" applyAlignment="1">
      <alignment horizontal="center" vertical="center" shrinkToFit="1"/>
    </xf>
    <xf numFmtId="0" fontId="76" fillId="0" borderId="3" xfId="13" applyFont="1" applyFill="1" applyBorder="1" applyAlignment="1">
      <alignment horizontal="center" vertical="center" wrapText="1" shrinkToFit="1"/>
    </xf>
    <xf numFmtId="0" fontId="76" fillId="0" borderId="3" xfId="13" applyFont="1" applyFill="1" applyBorder="1" applyAlignment="1">
      <alignment vertical="center" wrapText="1" shrinkToFit="1"/>
    </xf>
    <xf numFmtId="0" fontId="72" fillId="0" borderId="3" xfId="13" applyFont="1" applyFill="1" applyBorder="1" applyAlignment="1">
      <alignment vertical="center" wrapText="1"/>
    </xf>
    <xf numFmtId="0" fontId="25" fillId="0" borderId="3" xfId="13" applyFont="1" applyFill="1" applyBorder="1" applyAlignment="1">
      <alignment vertical="center" wrapText="1"/>
    </xf>
    <xf numFmtId="0" fontId="76" fillId="0" borderId="3" xfId="13" applyFont="1" applyFill="1" applyBorder="1" applyAlignment="1">
      <alignment vertical="center" wrapText="1"/>
    </xf>
    <xf numFmtId="38" fontId="27" fillId="0" borderId="3" xfId="14" applyFont="1" applyFill="1" applyBorder="1" applyAlignment="1">
      <alignment vertical="center" shrinkToFit="1"/>
    </xf>
    <xf numFmtId="49" fontId="76" fillId="0" borderId="3" xfId="13" applyNumberFormat="1" applyFont="1" applyFill="1" applyBorder="1" applyAlignment="1">
      <alignment vertical="center" wrapText="1" shrinkToFit="1"/>
    </xf>
    <xf numFmtId="0" fontId="76" fillId="0" borderId="3" xfId="13" applyFont="1" applyFill="1" applyBorder="1" applyAlignment="1">
      <alignment vertical="center" shrinkToFit="1"/>
    </xf>
    <xf numFmtId="0" fontId="76" fillId="0" borderId="3" xfId="13" applyFont="1" applyFill="1" applyBorder="1" applyAlignment="1">
      <alignment horizontal="left" vertical="center" wrapText="1" shrinkToFit="1"/>
    </xf>
    <xf numFmtId="0" fontId="61" fillId="0" borderId="0" xfId="13" applyFont="1" applyFill="1">
      <alignment vertical="center"/>
    </xf>
    <xf numFmtId="0" fontId="62" fillId="0" borderId="0" xfId="13" applyFont="1" applyFill="1" applyAlignment="1">
      <alignment vertical="center" shrinkToFit="1"/>
    </xf>
    <xf numFmtId="0" fontId="78" fillId="11" borderId="45" xfId="13" applyFont="1" applyFill="1" applyBorder="1" applyAlignment="1">
      <alignment vertical="center" shrinkToFit="1"/>
    </xf>
    <xf numFmtId="0" fontId="79" fillId="11" borderId="45" xfId="13" applyFont="1" applyFill="1" applyBorder="1" applyAlignment="1">
      <alignment vertical="center" wrapText="1" shrinkToFit="1"/>
    </xf>
    <xf numFmtId="0" fontId="80" fillId="11" borderId="45" xfId="13" applyFont="1" applyFill="1" applyBorder="1" applyAlignment="1">
      <alignment vertical="center" shrinkToFit="1"/>
    </xf>
    <xf numFmtId="0" fontId="25" fillId="0" borderId="0" xfId="13" applyFont="1" applyFill="1" applyAlignment="1">
      <alignment vertical="center" shrinkToFit="1"/>
    </xf>
    <xf numFmtId="0" fontId="25" fillId="0" borderId="3" xfId="13" applyFont="1" applyFill="1" applyBorder="1" applyAlignment="1">
      <alignment horizontal="left" vertical="center" wrapText="1" shrinkToFit="1"/>
    </xf>
    <xf numFmtId="0" fontId="81" fillId="11" borderId="45" xfId="13" applyFont="1" applyFill="1" applyBorder="1" applyAlignment="1">
      <alignment vertical="center" wrapText="1" shrinkToFit="1"/>
    </xf>
    <xf numFmtId="0" fontId="27" fillId="0" borderId="3" xfId="13" applyFont="1" applyFill="1" applyBorder="1" applyAlignment="1">
      <alignment horizontal="left" vertical="center" wrapText="1" shrinkToFit="1"/>
    </xf>
    <xf numFmtId="38" fontId="27" fillId="0" borderId="3" xfId="14" applyFont="1" applyFill="1" applyBorder="1" applyAlignment="1">
      <alignment horizontal="right" vertical="center" shrinkToFit="1"/>
    </xf>
    <xf numFmtId="3" fontId="27" fillId="0" borderId="3" xfId="13" applyNumberFormat="1" applyFont="1" applyFill="1" applyBorder="1" applyAlignment="1">
      <alignment horizontal="right" vertical="center" shrinkToFit="1"/>
    </xf>
    <xf numFmtId="0" fontId="27" fillId="0" borderId="3" xfId="13" applyFont="1" applyFill="1" applyBorder="1" applyAlignment="1">
      <alignment vertical="center" wrapText="1"/>
    </xf>
    <xf numFmtId="3" fontId="25" fillId="0" borderId="3" xfId="13" applyNumberFormat="1" applyFont="1" applyFill="1" applyBorder="1" applyAlignment="1">
      <alignment vertical="center" wrapText="1" shrinkToFit="1"/>
    </xf>
    <xf numFmtId="177" fontId="25" fillId="0" borderId="3" xfId="13" applyNumberFormat="1" applyFont="1" applyFill="1" applyBorder="1" applyAlignment="1">
      <alignment vertical="center" wrapText="1" shrinkToFit="1"/>
    </xf>
    <xf numFmtId="177" fontId="27" fillId="0" borderId="0" xfId="13" applyNumberFormat="1" applyFont="1" applyFill="1" applyBorder="1" applyAlignment="1">
      <alignment vertical="center" shrinkToFit="1"/>
    </xf>
    <xf numFmtId="177" fontId="76" fillId="0" borderId="4" xfId="13" applyNumberFormat="1" applyFont="1" applyFill="1" applyBorder="1" applyAlignment="1">
      <alignment vertical="center" shrinkToFit="1"/>
    </xf>
    <xf numFmtId="177" fontId="72" fillId="0" borderId="4" xfId="13" applyNumberFormat="1" applyFont="1" applyFill="1" applyBorder="1" applyAlignment="1">
      <alignment vertical="center" shrinkToFit="1"/>
    </xf>
    <xf numFmtId="0" fontId="72" fillId="0" borderId="4" xfId="13" applyFont="1" applyFill="1" applyBorder="1" applyAlignment="1">
      <alignment vertical="center" wrapText="1" shrinkToFit="1"/>
    </xf>
    <xf numFmtId="0" fontId="64" fillId="0" borderId="4" xfId="13" applyFont="1" applyFill="1" applyBorder="1" applyAlignment="1">
      <alignment horizontal="center" vertical="center" shrinkToFit="1"/>
    </xf>
    <xf numFmtId="0" fontId="76" fillId="0" borderId="4" xfId="13" applyFont="1" applyFill="1" applyBorder="1" applyAlignment="1">
      <alignment vertical="center" wrapText="1" shrinkToFit="1"/>
    </xf>
    <xf numFmtId="177" fontId="72" fillId="0" borderId="3" xfId="13" applyNumberFormat="1" applyFont="1" applyFill="1" applyBorder="1" applyAlignment="1">
      <alignment vertical="center" shrinkToFit="1"/>
    </xf>
    <xf numFmtId="0" fontId="64" fillId="0" borderId="3" xfId="13" applyFont="1" applyFill="1" applyBorder="1" applyAlignment="1">
      <alignment horizontal="center" vertical="center" shrinkToFit="1"/>
    </xf>
    <xf numFmtId="177" fontId="76" fillId="0" borderId="71" xfId="13" applyNumberFormat="1" applyFont="1" applyFill="1" applyBorder="1" applyAlignment="1">
      <alignment vertical="center" shrinkToFit="1"/>
    </xf>
    <xf numFmtId="177" fontId="72" fillId="0" borderId="71" xfId="13" applyNumberFormat="1" applyFont="1" applyFill="1" applyBorder="1" applyAlignment="1">
      <alignment vertical="center" shrinkToFit="1"/>
    </xf>
    <xf numFmtId="0" fontId="72" fillId="0" borderId="71" xfId="13" applyFont="1" applyFill="1" applyBorder="1" applyAlignment="1">
      <alignment vertical="center" wrapText="1" shrinkToFit="1"/>
    </xf>
    <xf numFmtId="0" fontId="64" fillId="0" borderId="71" xfId="13" applyFont="1" applyFill="1" applyBorder="1" applyAlignment="1">
      <alignment horizontal="center" vertical="center" shrinkToFit="1"/>
    </xf>
    <xf numFmtId="0" fontId="76" fillId="0" borderId="71" xfId="13" applyFont="1" applyFill="1" applyBorder="1" applyAlignment="1">
      <alignment vertical="center" wrapText="1" shrinkToFit="1"/>
    </xf>
    <xf numFmtId="0" fontId="25" fillId="0" borderId="0" xfId="13" applyFont="1" applyFill="1" applyBorder="1" applyAlignment="1">
      <alignment vertical="center" shrinkToFit="1"/>
    </xf>
    <xf numFmtId="0" fontId="25" fillId="0" borderId="0" xfId="13" applyFont="1" applyFill="1">
      <alignment vertical="center"/>
    </xf>
    <xf numFmtId="176" fontId="28" fillId="0" borderId="0" xfId="13" applyNumberFormat="1" applyFont="1" applyFill="1" applyAlignment="1">
      <alignment horizontal="right" vertical="center"/>
    </xf>
    <xf numFmtId="176" fontId="25" fillId="0" borderId="0" xfId="13" applyNumberFormat="1" applyFont="1" applyFill="1" applyAlignment="1">
      <alignment vertical="center" wrapText="1"/>
    </xf>
    <xf numFmtId="176" fontId="25" fillId="0" borderId="0" xfId="13" applyNumberFormat="1" applyFont="1" applyFill="1" applyAlignment="1">
      <alignment horizontal="center" vertical="center"/>
    </xf>
    <xf numFmtId="0" fontId="20" fillId="0" borderId="0" xfId="13" applyFont="1" applyFill="1">
      <alignment vertical="center"/>
    </xf>
    <xf numFmtId="197" fontId="0" fillId="0" borderId="3" xfId="0" applyNumberFormat="1" applyBorder="1"/>
    <xf numFmtId="197" fontId="0" fillId="0" borderId="3" xfId="0" applyNumberFormat="1" applyBorder="1" applyAlignment="1">
      <alignment horizontal="right"/>
    </xf>
    <xf numFmtId="0" fontId="28" fillId="0" borderId="3" xfId="4" applyFont="1" applyFill="1" applyBorder="1" applyAlignment="1">
      <alignment horizontal="distributed" vertical="center"/>
    </xf>
    <xf numFmtId="0" fontId="28" fillId="0" borderId="63" xfId="4" applyFont="1" applyBorder="1" applyAlignment="1">
      <alignment vertical="center" wrapText="1"/>
    </xf>
    <xf numFmtId="0" fontId="28" fillId="0" borderId="69" xfId="4" applyFont="1" applyFill="1" applyBorder="1" applyAlignment="1">
      <alignment horizontal="center" vertical="center"/>
    </xf>
    <xf numFmtId="0" fontId="28" fillId="0" borderId="70" xfId="4" applyFont="1" applyFill="1" applyBorder="1" applyAlignment="1">
      <alignment horizontal="center" vertical="center"/>
    </xf>
    <xf numFmtId="0" fontId="28" fillId="0" borderId="115" xfId="4" applyFont="1" applyFill="1" applyBorder="1" applyAlignment="1">
      <alignment horizontal="distributed" vertical="center"/>
    </xf>
    <xf numFmtId="0" fontId="28" fillId="0" borderId="32" xfId="4" applyFont="1" applyFill="1" applyBorder="1" applyAlignment="1">
      <alignment horizontal="distributed" vertical="center"/>
    </xf>
    <xf numFmtId="0" fontId="26" fillId="0" borderId="0" xfId="4" applyFont="1" applyFill="1" applyAlignment="1">
      <alignment horizontal="center"/>
    </xf>
    <xf numFmtId="0" fontId="28" fillId="0" borderId="130" xfId="4" applyFont="1" applyFill="1" applyBorder="1" applyAlignment="1">
      <alignment horizontal="center" vertical="center"/>
    </xf>
    <xf numFmtId="0" fontId="28" fillId="0" borderId="131" xfId="4" applyFont="1" applyFill="1" applyBorder="1" applyAlignment="1">
      <alignment horizontal="center" vertical="center"/>
    </xf>
    <xf numFmtId="182" fontId="28" fillId="0" borderId="18" xfId="4" applyNumberFormat="1" applyFont="1" applyFill="1" applyBorder="1" applyAlignment="1">
      <alignment horizontal="center" vertical="center"/>
    </xf>
    <xf numFmtId="182" fontId="28" fillId="0" borderId="129" xfId="4" applyNumberFormat="1" applyFont="1" applyFill="1" applyBorder="1" applyAlignment="1">
      <alignment horizontal="center" vertical="center"/>
    </xf>
    <xf numFmtId="0" fontId="28" fillId="0" borderId="130" xfId="4" applyFont="1" applyFill="1" applyBorder="1" applyAlignment="1">
      <alignment horizontal="center" vertical="center" shrinkToFit="1"/>
    </xf>
    <xf numFmtId="0" fontId="28" fillId="0" borderId="131" xfId="4" applyFont="1" applyFill="1" applyBorder="1" applyAlignment="1">
      <alignment horizontal="center" vertical="center" shrinkToFit="1"/>
    </xf>
    <xf numFmtId="0" fontId="28" fillId="0" borderId="15" xfId="4" applyFont="1" applyFill="1" applyBorder="1" applyAlignment="1">
      <alignment horizontal="center" vertical="center"/>
    </xf>
    <xf numFmtId="0" fontId="28" fillId="0" borderId="16" xfId="4" applyFont="1" applyFill="1" applyBorder="1" applyAlignment="1">
      <alignment horizontal="center" vertical="center"/>
    </xf>
    <xf numFmtId="0" fontId="28" fillId="0" borderId="11" xfId="4" applyFont="1" applyFill="1" applyBorder="1" applyAlignment="1">
      <alignment horizontal="center" vertical="center"/>
    </xf>
    <xf numFmtId="0" fontId="28" fillId="0" borderId="12" xfId="4" applyFont="1" applyFill="1" applyBorder="1" applyAlignment="1">
      <alignment horizontal="center" vertical="center"/>
    </xf>
    <xf numFmtId="0" fontId="28" fillId="0" borderId="19" xfId="4" applyFont="1" applyFill="1" applyBorder="1" applyAlignment="1">
      <alignment horizontal="distributed" vertical="center"/>
    </xf>
    <xf numFmtId="0" fontId="28" fillId="0" borderId="0" xfId="4" applyFont="1" applyFill="1" applyBorder="1" applyAlignment="1">
      <alignment horizontal="distributed" vertical="center"/>
    </xf>
    <xf numFmtId="0" fontId="28" fillId="0" borderId="3" xfId="4" applyFont="1" applyFill="1" applyBorder="1" applyAlignment="1">
      <alignment horizontal="distributed" vertical="center" wrapText="1"/>
    </xf>
    <xf numFmtId="0" fontId="26" fillId="6" borderId="0" xfId="0" applyFont="1" applyFill="1" applyAlignment="1">
      <alignment horizontal="center"/>
    </xf>
    <xf numFmtId="0" fontId="28" fillId="6" borderId="61" xfId="0" applyFont="1" applyFill="1" applyBorder="1" applyAlignment="1">
      <alignment horizontal="center" vertical="center"/>
    </xf>
    <xf numFmtId="0" fontId="28" fillId="6" borderId="45" xfId="0" applyFont="1" applyFill="1" applyBorder="1" applyAlignment="1">
      <alignment horizontal="center" vertical="center"/>
    </xf>
    <xf numFmtId="0" fontId="28" fillId="0" borderId="65" xfId="0" applyFont="1" applyFill="1" applyBorder="1" applyAlignment="1">
      <alignment horizontal="center" vertical="center"/>
    </xf>
    <xf numFmtId="0" fontId="28" fillId="0" borderId="21" xfId="0" applyFont="1" applyFill="1" applyBorder="1" applyAlignment="1">
      <alignment horizontal="center" vertical="center"/>
    </xf>
    <xf numFmtId="0" fontId="22" fillId="6" borderId="0" xfId="0" applyFont="1" applyFill="1" applyAlignment="1">
      <alignment horizontal="center"/>
    </xf>
    <xf numFmtId="38" fontId="17" fillId="0" borderId="0" xfId="1" applyFont="1" applyBorder="1" applyAlignment="1">
      <alignment horizontal="right"/>
    </xf>
    <xf numFmtId="38" fontId="25" fillId="0" borderId="0" xfId="1" applyFont="1" applyBorder="1" applyAlignment="1">
      <alignment horizontal="right"/>
    </xf>
    <xf numFmtId="186" fontId="23" fillId="0" borderId="45" xfId="4" applyNumberFormat="1" applyFont="1" applyBorder="1" applyAlignment="1">
      <alignment horizontal="right" shrinkToFit="1"/>
    </xf>
    <xf numFmtId="186" fontId="23" fillId="0" borderId="46" xfId="4" applyNumberFormat="1" applyFont="1" applyBorder="1" applyAlignment="1">
      <alignment horizontal="right" shrinkToFit="1"/>
    </xf>
    <xf numFmtId="186" fontId="23" fillId="0" borderId="45" xfId="4" applyNumberFormat="1" applyFont="1" applyBorder="1" applyAlignment="1">
      <alignment horizontal="right"/>
    </xf>
    <xf numFmtId="186" fontId="23" fillId="0" borderId="46" xfId="4" applyNumberFormat="1" applyFont="1" applyBorder="1" applyAlignment="1">
      <alignment horizontal="right"/>
    </xf>
    <xf numFmtId="38" fontId="25" fillId="0" borderId="63" xfId="1" applyFont="1" applyBorder="1" applyAlignment="1">
      <alignment horizontal="right"/>
    </xf>
    <xf numFmtId="0" fontId="20" fillId="0" borderId="0" xfId="4" applyFont="1" applyAlignment="1">
      <alignment horizontal="center" vertical="center"/>
    </xf>
    <xf numFmtId="38" fontId="25" fillId="0" borderId="21" xfId="1" applyFont="1" applyBorder="1" applyAlignment="1">
      <alignment horizontal="right"/>
    </xf>
    <xf numFmtId="193" fontId="21" fillId="0" borderId="0" xfId="4" applyNumberFormat="1" applyFont="1" applyAlignment="1">
      <alignment shrinkToFit="1"/>
    </xf>
    <xf numFmtId="0" fontId="28" fillId="0" borderId="0" xfId="0" applyFont="1" applyAlignment="1">
      <alignment shrinkToFit="1"/>
    </xf>
    <xf numFmtId="0" fontId="28" fillId="0" borderId="4" xfId="0" applyFont="1" applyFill="1" applyBorder="1" applyAlignment="1">
      <alignment horizontal="center" vertical="center"/>
    </xf>
    <xf numFmtId="0" fontId="22" fillId="0" borderId="0" xfId="0" applyFont="1" applyAlignment="1">
      <alignment horizontal="center"/>
    </xf>
    <xf numFmtId="0" fontId="28" fillId="0" borderId="61" xfId="0" applyFont="1" applyFill="1" applyBorder="1" applyAlignment="1">
      <alignment horizontal="distributed" vertical="center"/>
    </xf>
    <xf numFmtId="0" fontId="28" fillId="0" borderId="45" xfId="0" applyFont="1" applyFill="1" applyBorder="1" applyAlignment="1">
      <alignment horizontal="distributed" vertical="center"/>
    </xf>
    <xf numFmtId="0" fontId="28" fillId="0" borderId="51" xfId="0" applyFont="1" applyFill="1" applyBorder="1" applyAlignment="1">
      <alignment horizontal="distributed" vertical="center"/>
    </xf>
    <xf numFmtId="0" fontId="28" fillId="0" borderId="52" xfId="0" applyFont="1" applyFill="1" applyBorder="1" applyAlignment="1">
      <alignment horizontal="distributed" vertical="center"/>
    </xf>
    <xf numFmtId="0" fontId="28" fillId="0" borderId="3" xfId="0" applyFont="1" applyBorder="1" applyAlignment="1">
      <alignment horizontal="center" vertical="center"/>
    </xf>
    <xf numFmtId="0" fontId="28" fillId="0" borderId="61" xfId="0" applyFont="1" applyBorder="1" applyAlignment="1">
      <alignment horizontal="center" vertical="center"/>
    </xf>
    <xf numFmtId="0" fontId="28" fillId="0" borderId="61" xfId="0" applyFont="1" applyFill="1" applyBorder="1" applyAlignment="1">
      <alignment horizontal="center" vertical="center"/>
    </xf>
    <xf numFmtId="0" fontId="28" fillId="0" borderId="45" xfId="0" applyFont="1" applyFill="1" applyBorder="1" applyAlignment="1">
      <alignment horizontal="center" vertical="center"/>
    </xf>
    <xf numFmtId="38" fontId="25" fillId="0" borderId="0" xfId="1" applyFont="1" applyBorder="1" applyAlignment="1">
      <alignment horizontal="right" shrinkToFit="1"/>
    </xf>
    <xf numFmtId="38" fontId="25" fillId="0" borderId="21" xfId="1" applyFont="1" applyBorder="1" applyAlignment="1">
      <alignment horizontal="right" shrinkToFit="1"/>
    </xf>
    <xf numFmtId="0" fontId="25" fillId="0" borderId="62" xfId="4" applyFont="1" applyBorder="1" applyAlignment="1">
      <alignment horizontal="center"/>
    </xf>
    <xf numFmtId="0" fontId="25" fillId="0" borderId="63" xfId="4" applyFont="1" applyBorder="1" applyAlignment="1">
      <alignment horizontal="center"/>
    </xf>
    <xf numFmtId="0" fontId="25" fillId="0" borderId="64" xfId="4" applyFont="1" applyBorder="1" applyAlignment="1">
      <alignment horizontal="center"/>
    </xf>
    <xf numFmtId="0" fontId="25" fillId="0" borderId="19" xfId="4" applyFont="1" applyBorder="1" applyAlignment="1">
      <alignment horizontal="left"/>
    </xf>
    <xf numFmtId="0" fontId="25" fillId="0" borderId="0" xfId="4" applyFont="1" applyBorder="1" applyAlignment="1">
      <alignment horizontal="left"/>
    </xf>
    <xf numFmtId="0" fontId="26" fillId="0" borderId="0" xfId="0" applyFont="1" applyAlignment="1">
      <alignment horizontal="center"/>
    </xf>
    <xf numFmtId="0" fontId="28" fillId="0" borderId="71" xfId="0" applyFont="1" applyFill="1" applyBorder="1" applyAlignment="1">
      <alignment horizontal="center" vertical="center" textRotation="255"/>
    </xf>
    <xf numFmtId="0" fontId="28" fillId="0" borderId="22" xfId="0" applyFont="1" applyFill="1" applyBorder="1" applyAlignment="1">
      <alignment horizontal="center" vertical="center" textRotation="255"/>
    </xf>
    <xf numFmtId="0" fontId="28" fillId="0" borderId="72" xfId="0" applyFont="1" applyFill="1" applyBorder="1" applyAlignment="1">
      <alignment horizontal="center" vertical="center" textRotation="255"/>
    </xf>
    <xf numFmtId="38" fontId="25" fillId="0" borderId="63" xfId="1" applyFont="1" applyBorder="1" applyAlignment="1"/>
    <xf numFmtId="38" fontId="25" fillId="0" borderId="0" xfId="1" applyFont="1" applyBorder="1" applyAlignment="1"/>
    <xf numFmtId="38" fontId="25" fillId="0" borderId="21" xfId="1" applyFont="1" applyBorder="1" applyAlignment="1"/>
    <xf numFmtId="0" fontId="26" fillId="3" borderId="0" xfId="2" applyFont="1" applyFill="1" applyBorder="1" applyAlignment="1">
      <alignment horizontal="center" vertical="center"/>
    </xf>
    <xf numFmtId="0" fontId="36" fillId="0" borderId="61" xfId="0" quotePrefix="1" applyFont="1" applyFill="1" applyBorder="1" applyAlignment="1">
      <alignment horizontal="center" vertical="center"/>
    </xf>
    <xf numFmtId="0" fontId="36" fillId="0" borderId="45" xfId="0" quotePrefix="1" applyFont="1" applyFill="1" applyBorder="1" applyAlignment="1">
      <alignment horizontal="center" vertical="center"/>
    </xf>
    <xf numFmtId="0" fontId="36" fillId="0" borderId="46" xfId="0" quotePrefix="1" applyFont="1" applyFill="1" applyBorder="1" applyAlignment="1">
      <alignment horizontal="center" vertical="center"/>
    </xf>
    <xf numFmtId="38" fontId="36" fillId="0" borderId="45" xfId="6" quotePrefix="1" applyFont="1" applyFill="1" applyBorder="1" applyAlignment="1">
      <alignment horizontal="center" vertical="center"/>
    </xf>
    <xf numFmtId="38" fontId="36" fillId="0" borderId="46" xfId="6" quotePrefix="1" applyFont="1" applyFill="1" applyBorder="1" applyAlignment="1">
      <alignment horizontal="center" vertical="center"/>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6" fillId="3" borderId="0" xfId="7" applyFont="1" applyFill="1" applyBorder="1" applyAlignment="1">
      <alignment horizontal="center" vertical="center"/>
    </xf>
    <xf numFmtId="0" fontId="21" fillId="3" borderId="21" xfId="5" applyFont="1" applyFill="1" applyBorder="1" applyAlignment="1">
      <alignment horizontal="left" vertical="top"/>
    </xf>
    <xf numFmtId="0" fontId="52" fillId="0" borderId="0" xfId="0" applyFont="1" applyFill="1" applyAlignment="1">
      <alignment horizontal="left" vertical="center" wrapText="1"/>
    </xf>
    <xf numFmtId="0" fontId="52" fillId="0" borderId="0" xfId="0" applyFont="1" applyFill="1" applyAlignment="1">
      <alignment horizontal="left" vertical="center"/>
    </xf>
    <xf numFmtId="0" fontId="36" fillId="0" borderId="0" xfId="5" applyFont="1" applyFill="1" applyBorder="1" applyAlignment="1">
      <alignment horizontal="left" vertical="top" wrapText="1"/>
    </xf>
    <xf numFmtId="49" fontId="36" fillId="0" borderId="20" xfId="6" applyNumberFormat="1" applyFont="1" applyFill="1" applyBorder="1" applyAlignment="1">
      <alignment vertical="top" wrapText="1"/>
    </xf>
    <xf numFmtId="0" fontId="36" fillId="0" borderId="20" xfId="5" applyFont="1" applyFill="1" applyBorder="1" applyAlignment="1">
      <alignment vertical="top" wrapText="1"/>
    </xf>
    <xf numFmtId="0" fontId="25" fillId="0" borderId="120" xfId="3" applyFont="1" applyBorder="1" applyAlignment="1">
      <alignment horizontal="left" vertical="top" wrapText="1"/>
    </xf>
    <xf numFmtId="38" fontId="55" fillId="4" borderId="73" xfId="1" applyFont="1" applyFill="1" applyBorder="1" applyAlignment="1">
      <alignment horizontal="right" vertical="center"/>
    </xf>
    <xf numFmtId="38" fontId="64" fillId="4" borderId="73" xfId="1" applyFont="1" applyFill="1" applyBorder="1" applyAlignment="1">
      <alignment horizontal="right" vertical="center"/>
    </xf>
    <xf numFmtId="0" fontId="27" fillId="4" borderId="73" xfId="3" applyFont="1" applyFill="1" applyBorder="1" applyAlignment="1">
      <alignment horizontal="distributed" vertical="center"/>
    </xf>
    <xf numFmtId="38" fontId="55" fillId="4" borderId="108" xfId="1" applyFont="1" applyFill="1" applyBorder="1" applyAlignment="1">
      <alignment horizontal="right" vertical="center"/>
    </xf>
    <xf numFmtId="38" fontId="55" fillId="4" borderId="109" xfId="1" applyFont="1" applyFill="1" applyBorder="1" applyAlignment="1">
      <alignment horizontal="right" vertical="center"/>
    </xf>
    <xf numFmtId="0" fontId="28" fillId="0" borderId="109" xfId="0" applyFont="1" applyBorder="1" applyAlignment="1">
      <alignment horizontal="right" vertical="center"/>
    </xf>
    <xf numFmtId="0" fontId="28" fillId="0" borderId="109" xfId="0" applyFont="1" applyBorder="1" applyAlignment="1">
      <alignment vertical="center"/>
    </xf>
    <xf numFmtId="0" fontId="61" fillId="5" borderId="74" xfId="3" applyFont="1" applyFill="1" applyBorder="1" applyAlignment="1">
      <alignment horizontal="center" vertical="center"/>
    </xf>
    <xf numFmtId="0" fontId="61" fillId="5" borderId="75" xfId="3" applyFont="1" applyFill="1" applyBorder="1" applyAlignment="1">
      <alignment horizontal="center" vertical="center"/>
    </xf>
    <xf numFmtId="0" fontId="61" fillId="5" borderId="76" xfId="3" applyFont="1" applyFill="1" applyBorder="1" applyAlignment="1">
      <alignment horizontal="center" vertical="center"/>
    </xf>
    <xf numFmtId="0" fontId="61" fillId="5" borderId="77" xfId="3" applyFont="1" applyFill="1" applyBorder="1" applyAlignment="1">
      <alignment horizontal="center" vertical="center"/>
    </xf>
    <xf numFmtId="0" fontId="61" fillId="5" borderId="78" xfId="3" applyFont="1" applyFill="1" applyBorder="1" applyAlignment="1">
      <alignment horizontal="center" vertical="center"/>
    </xf>
    <xf numFmtId="0" fontId="61" fillId="5" borderId="79" xfId="3" applyFont="1" applyFill="1" applyBorder="1" applyAlignment="1">
      <alignment horizontal="center" vertical="center"/>
    </xf>
    <xf numFmtId="0" fontId="62" fillId="5" borderId="82" xfId="3" applyFont="1" applyFill="1" applyBorder="1" applyAlignment="1">
      <alignment horizontal="center" vertical="center"/>
    </xf>
    <xf numFmtId="0" fontId="61" fillId="0" borderId="80" xfId="0" applyFont="1" applyBorder="1" applyAlignment="1">
      <alignment vertical="center"/>
    </xf>
    <xf numFmtId="0" fontId="62" fillId="5" borderId="80" xfId="3" applyFont="1" applyFill="1" applyBorder="1" applyAlignment="1">
      <alignment horizontal="center" vertical="center" wrapText="1"/>
    </xf>
    <xf numFmtId="0" fontId="62" fillId="5" borderId="81" xfId="3" applyFont="1" applyFill="1" applyBorder="1" applyAlignment="1">
      <alignment horizontal="center" vertical="center"/>
    </xf>
    <xf numFmtId="0" fontId="63" fillId="5" borderId="66" xfId="3" applyFont="1" applyFill="1" applyBorder="1" applyAlignment="1">
      <alignment horizontal="center" vertical="center"/>
    </xf>
    <xf numFmtId="0" fontId="63" fillId="5" borderId="68" xfId="3" applyFont="1" applyFill="1" applyBorder="1" applyAlignment="1">
      <alignment horizontal="center" vertical="center"/>
    </xf>
    <xf numFmtId="0" fontId="55" fillId="0" borderId="67" xfId="3" applyFont="1" applyBorder="1" applyAlignment="1">
      <alignment horizontal="center"/>
    </xf>
    <xf numFmtId="0" fontId="25" fillId="4" borderId="73" xfId="3" applyFont="1" applyFill="1" applyBorder="1" applyAlignment="1">
      <alignment horizontal="distributed" vertical="center"/>
    </xf>
    <xf numFmtId="0" fontId="63" fillId="7" borderId="66" xfId="3" applyFont="1" applyFill="1" applyBorder="1" applyAlignment="1">
      <alignment horizontal="center" vertical="center"/>
    </xf>
    <xf numFmtId="0" fontId="63" fillId="7" borderId="68" xfId="3" applyFont="1" applyFill="1" applyBorder="1" applyAlignment="1">
      <alignment horizontal="center" vertical="center"/>
    </xf>
    <xf numFmtId="0" fontId="54" fillId="5" borderId="0" xfId="3" applyFont="1" applyFill="1" applyAlignment="1">
      <alignment horizontal="center" vertical="center"/>
    </xf>
    <xf numFmtId="0" fontId="27" fillId="0" borderId="0" xfId="3" applyFont="1" applyAlignment="1">
      <alignment horizontal="left" vertical="center" wrapText="1"/>
    </xf>
    <xf numFmtId="0" fontId="8" fillId="0" borderId="0" xfId="0" applyFont="1" applyBorder="1" applyAlignment="1">
      <alignment horizontal="distributed" vertical="center"/>
    </xf>
    <xf numFmtId="0" fontId="8" fillId="0" borderId="87" xfId="0" applyFont="1" applyBorder="1" applyAlignment="1">
      <alignment horizontal="distributed" vertical="distributed"/>
    </xf>
    <xf numFmtId="0" fontId="8" fillId="0" borderId="42" xfId="0" applyFont="1" applyBorder="1" applyAlignment="1">
      <alignment horizontal="distributed" vertical="distributed"/>
    </xf>
    <xf numFmtId="0" fontId="8" fillId="0" borderId="28" xfId="0" applyFont="1" applyBorder="1" applyAlignment="1">
      <alignment horizontal="distributed" vertical="distributed"/>
    </xf>
    <xf numFmtId="0" fontId="8" fillId="0" borderId="48" xfId="0" applyFont="1" applyBorder="1" applyAlignment="1">
      <alignment horizontal="distributed" vertical="center"/>
    </xf>
    <xf numFmtId="0" fontId="8" fillId="0" borderId="26" xfId="0" applyFont="1" applyBorder="1" applyAlignment="1">
      <alignment horizontal="distributed" vertical="center"/>
    </xf>
    <xf numFmtId="0" fontId="8" fillId="0" borderId="41" xfId="0" applyFont="1" applyBorder="1" applyAlignment="1">
      <alignment horizontal="distributed" vertical="center"/>
    </xf>
    <xf numFmtId="0" fontId="8" fillId="0" borderId="28" xfId="0" applyFont="1" applyBorder="1" applyAlignment="1">
      <alignment horizontal="distributed" vertical="center"/>
    </xf>
    <xf numFmtId="0" fontId="8" fillId="0" borderId="98" xfId="0" applyFont="1" applyBorder="1" applyAlignment="1">
      <alignment horizontal="center" vertical="center" textRotation="255"/>
    </xf>
    <xf numFmtId="0" fontId="0" fillId="0" borderId="57" xfId="0" applyBorder="1" applyAlignment="1">
      <alignment horizontal="center" vertical="center" textRotation="255"/>
    </xf>
    <xf numFmtId="0" fontId="0" fillId="0" borderId="99" xfId="0" applyBorder="1" applyAlignment="1">
      <alignment horizontal="center" vertical="center" textRotation="255"/>
    </xf>
    <xf numFmtId="0" fontId="8" fillId="0" borderId="100" xfId="0" applyFont="1" applyBorder="1" applyAlignment="1">
      <alignment horizontal="distributed" vertical="center"/>
    </xf>
    <xf numFmtId="0" fontId="8" fillId="0" borderId="43" xfId="0" applyFont="1" applyBorder="1" applyAlignment="1">
      <alignment horizontal="distributed" vertical="center"/>
    </xf>
    <xf numFmtId="0" fontId="8" fillId="0" borderId="101" xfId="0" applyFont="1" applyBorder="1" applyAlignment="1">
      <alignment horizontal="distributed" vertical="center"/>
    </xf>
    <xf numFmtId="0" fontId="8" fillId="0" borderId="40" xfId="0" applyFont="1" applyBorder="1" applyAlignment="1">
      <alignment horizontal="distributed" vertical="center"/>
    </xf>
    <xf numFmtId="0" fontId="8" fillId="0" borderId="61" xfId="0" applyFont="1" applyBorder="1" applyAlignment="1">
      <alignment horizontal="center" vertical="center"/>
    </xf>
    <xf numFmtId="0" fontId="8" fillId="0" borderId="45"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8" fillId="0" borderId="42" xfId="0" applyFont="1" applyBorder="1" applyAlignment="1">
      <alignment horizontal="distributed" vertical="center"/>
    </xf>
    <xf numFmtId="0" fontId="7" fillId="0" borderId="61"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8" fillId="0" borderId="83" xfId="0" applyFont="1" applyBorder="1" applyAlignment="1">
      <alignment horizontal="distributed" vertical="center"/>
    </xf>
    <xf numFmtId="0" fontId="8" fillId="0" borderId="84" xfId="0" applyFont="1" applyBorder="1" applyAlignment="1">
      <alignment horizontal="distributed" vertical="center"/>
    </xf>
    <xf numFmtId="0" fontId="8" fillId="0" borderId="85" xfId="0" applyFont="1" applyBorder="1" applyAlignment="1">
      <alignment horizontal="distributed" vertical="center"/>
    </xf>
    <xf numFmtId="0" fontId="8" fillId="0" borderId="55" xfId="0" applyFont="1" applyBorder="1" applyAlignment="1">
      <alignment horizontal="distributed" vertical="center"/>
    </xf>
    <xf numFmtId="0" fontId="8" fillId="0" borderId="86" xfId="0" applyFont="1" applyBorder="1" applyAlignment="1">
      <alignment horizontal="distributed" vertical="center"/>
    </xf>
    <xf numFmtId="0" fontId="8" fillId="0" borderId="10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94" xfId="0" applyFont="1" applyBorder="1" applyAlignment="1">
      <alignment horizontal="distributed" vertical="center"/>
    </xf>
    <xf numFmtId="0" fontId="8" fillId="0" borderId="47" xfId="0" applyFont="1" applyBorder="1" applyAlignment="1">
      <alignment horizontal="distributed" vertical="center"/>
    </xf>
    <xf numFmtId="0" fontId="8" fillId="0" borderId="95" xfId="0" applyFont="1" applyBorder="1" applyAlignment="1">
      <alignment horizontal="distributed" vertical="center"/>
    </xf>
    <xf numFmtId="0" fontId="8" fillId="0" borderId="96" xfId="0" applyFont="1" applyBorder="1" applyAlignment="1">
      <alignment horizontal="distributed" vertical="center"/>
    </xf>
    <xf numFmtId="0" fontId="8" fillId="0" borderId="60" xfId="0" applyFont="1" applyBorder="1" applyAlignment="1">
      <alignment horizontal="distributed" vertical="center"/>
    </xf>
    <xf numFmtId="0" fontId="8" fillId="0" borderId="127" xfId="0" applyFont="1" applyBorder="1" applyAlignment="1">
      <alignment horizontal="distributed" vertical="center"/>
    </xf>
    <xf numFmtId="0" fontId="8" fillId="0" borderId="104" xfId="0" applyFont="1" applyBorder="1" applyAlignment="1">
      <alignment horizontal="distributed" vertical="center"/>
    </xf>
    <xf numFmtId="0" fontId="8" fillId="0" borderId="56" xfId="0" applyFont="1" applyBorder="1" applyAlignment="1">
      <alignment horizontal="distributed" vertical="center"/>
    </xf>
    <xf numFmtId="0" fontId="8" fillId="0" borderId="87" xfId="0" applyFont="1" applyBorder="1" applyAlignment="1">
      <alignment horizontal="distributed" vertical="center"/>
    </xf>
    <xf numFmtId="0" fontId="8" fillId="0" borderId="116" xfId="0" applyFont="1" applyBorder="1" applyAlignment="1">
      <alignment horizontal="distributed" vertical="center" wrapText="1"/>
    </xf>
    <xf numFmtId="0" fontId="0" fillId="0" borderId="117" xfId="0" applyBorder="1" applyAlignment="1">
      <alignment vertical="center"/>
    </xf>
    <xf numFmtId="0" fontId="0" fillId="0" borderId="118" xfId="0" applyBorder="1" applyAlignment="1">
      <alignment vertical="center"/>
    </xf>
    <xf numFmtId="0" fontId="8" fillId="0" borderId="88" xfId="0" applyFont="1" applyBorder="1" applyAlignment="1">
      <alignment horizontal="distributed" wrapText="1"/>
    </xf>
    <xf numFmtId="0" fontId="8" fillId="0" borderId="89" xfId="0" applyFont="1" applyBorder="1" applyAlignment="1">
      <alignment horizontal="distributed" wrapText="1"/>
    </xf>
    <xf numFmtId="0" fontId="8" fillId="0" borderId="38" xfId="0" applyFont="1" applyBorder="1" applyAlignment="1">
      <alignment horizontal="distributed" wrapText="1"/>
    </xf>
    <xf numFmtId="0" fontId="8" fillId="0" borderId="112" xfId="0" applyFont="1" applyBorder="1" applyAlignment="1">
      <alignment horizontal="distributed" vertical="distributed"/>
    </xf>
    <xf numFmtId="0" fontId="8" fillId="0" borderId="43" xfId="0" applyFont="1" applyBorder="1" applyAlignment="1">
      <alignment horizontal="distributed" vertical="distributed"/>
    </xf>
    <xf numFmtId="0" fontId="8" fillId="0" borderId="86" xfId="0" applyFont="1" applyBorder="1" applyAlignment="1">
      <alignment horizontal="distributed" vertical="distributed"/>
    </xf>
    <xf numFmtId="0" fontId="8" fillId="0" borderId="96" xfId="0" applyFont="1" applyBorder="1" applyAlignment="1">
      <alignment horizontal="center" vertical="center"/>
    </xf>
    <xf numFmtId="0" fontId="8" fillId="0" borderId="60" xfId="0" applyFont="1" applyBorder="1" applyAlignment="1">
      <alignment horizontal="center" vertical="center"/>
    </xf>
    <xf numFmtId="0" fontId="8" fillId="0" borderId="57" xfId="0" applyFont="1" applyBorder="1" applyAlignment="1">
      <alignment horizontal="center" vertical="center" textRotation="255" shrinkToFit="1"/>
    </xf>
    <xf numFmtId="0" fontId="8" fillId="0" borderId="105" xfId="0" applyFont="1" applyBorder="1" applyAlignment="1">
      <alignment horizontal="distributed" vertical="center"/>
    </xf>
    <xf numFmtId="0" fontId="8" fillId="0" borderId="34" xfId="0" applyFont="1" applyBorder="1" applyAlignment="1">
      <alignment horizontal="distributed" vertical="center"/>
    </xf>
    <xf numFmtId="0" fontId="8" fillId="0" borderId="103" xfId="0" applyFont="1" applyBorder="1" applyAlignment="1">
      <alignment horizontal="distributed" vertical="center"/>
    </xf>
    <xf numFmtId="0" fontId="8" fillId="0" borderId="50" xfId="0" applyFont="1" applyBorder="1" applyAlignment="1">
      <alignment horizontal="distributed" vertical="center"/>
    </xf>
    <xf numFmtId="0" fontId="8" fillId="0" borderId="90" xfId="0" applyFont="1" applyBorder="1" applyAlignment="1">
      <alignment horizontal="distributed" vertical="center"/>
    </xf>
    <xf numFmtId="0" fontId="8" fillId="0" borderId="97" xfId="0" applyFont="1" applyBorder="1" applyAlignment="1">
      <alignment horizontal="center" vertical="center"/>
    </xf>
    <xf numFmtId="0" fontId="8" fillId="0" borderId="54" xfId="0" applyFont="1" applyBorder="1" applyAlignment="1">
      <alignment horizontal="center" vertical="center"/>
    </xf>
    <xf numFmtId="0" fontId="8" fillId="0" borderId="102" xfId="0" applyFont="1" applyBorder="1" applyAlignment="1">
      <alignment horizontal="center" vertical="center" textRotation="255"/>
    </xf>
    <xf numFmtId="0" fontId="8" fillId="0" borderId="57" xfId="0" applyFont="1" applyBorder="1" applyAlignment="1">
      <alignment horizontal="center" vertical="center" textRotation="255"/>
    </xf>
    <xf numFmtId="0" fontId="8" fillId="0" borderId="58" xfId="0" applyFont="1" applyBorder="1" applyAlignment="1">
      <alignment horizontal="center" vertical="center" textRotation="255"/>
    </xf>
    <xf numFmtId="0" fontId="8" fillId="0" borderId="30" xfId="0" applyFont="1" applyBorder="1" applyAlignment="1">
      <alignment horizontal="distributed" vertical="center"/>
    </xf>
    <xf numFmtId="0" fontId="20" fillId="0" borderId="0" xfId="13" applyFont="1" applyAlignment="1">
      <alignment horizontal="center" vertical="center"/>
    </xf>
    <xf numFmtId="3" fontId="70" fillId="11" borderId="45" xfId="13" applyNumberFormat="1" applyFont="1" applyFill="1" applyBorder="1" applyAlignment="1">
      <alignment horizontal="right" vertical="center" shrinkToFit="1"/>
    </xf>
    <xf numFmtId="0" fontId="70" fillId="11" borderId="46" xfId="13" applyFont="1" applyFill="1" applyBorder="1" applyAlignment="1">
      <alignment horizontal="right" vertical="center" shrinkToFit="1"/>
    </xf>
    <xf numFmtId="0" fontId="69" fillId="0" borderId="46" xfId="13" applyFont="1" applyBorder="1">
      <alignment vertical="center"/>
    </xf>
    <xf numFmtId="3" fontId="23" fillId="10" borderId="45" xfId="13" applyNumberFormat="1" applyFont="1" applyFill="1" applyBorder="1" applyAlignment="1">
      <alignment horizontal="right" vertical="center" shrinkToFit="1"/>
    </xf>
    <xf numFmtId="0" fontId="23" fillId="10" borderId="46" xfId="13" applyFont="1" applyFill="1" applyBorder="1" applyAlignment="1">
      <alignment horizontal="right" vertical="center" shrinkToFit="1"/>
    </xf>
    <xf numFmtId="0" fontId="70" fillId="11" borderId="45" xfId="13" applyFont="1" applyFill="1" applyBorder="1" applyAlignment="1">
      <alignment horizontal="right" vertical="center" shrinkToFit="1"/>
    </xf>
    <xf numFmtId="3" fontId="70" fillId="12" borderId="45" xfId="13" applyNumberFormat="1" applyFont="1" applyFill="1" applyBorder="1" applyAlignment="1">
      <alignment horizontal="right" vertical="center" shrinkToFit="1"/>
    </xf>
    <xf numFmtId="3" fontId="70" fillId="12" borderId="46" xfId="13" applyNumberFormat="1" applyFont="1" applyFill="1" applyBorder="1" applyAlignment="1">
      <alignment horizontal="right" vertical="center" shrinkToFit="1"/>
    </xf>
    <xf numFmtId="0" fontId="74" fillId="11" borderId="45" xfId="13" applyFont="1" applyFill="1" applyBorder="1" applyAlignment="1">
      <alignment horizontal="left" vertical="center" shrinkToFit="1"/>
    </xf>
    <xf numFmtId="3" fontId="70" fillId="11" borderId="46" xfId="13" applyNumberFormat="1" applyFont="1" applyFill="1" applyBorder="1" applyAlignment="1">
      <alignment horizontal="right" vertical="center" shrinkToFit="1"/>
    </xf>
    <xf numFmtId="0" fontId="27" fillId="0" borderId="71" xfId="13" applyFont="1" applyFill="1" applyBorder="1" applyAlignment="1">
      <alignment horizontal="center" vertical="center"/>
    </xf>
    <xf numFmtId="0" fontId="27" fillId="0" borderId="4" xfId="13" applyFont="1" applyFill="1" applyBorder="1">
      <alignment vertical="center"/>
    </xf>
    <xf numFmtId="0" fontId="28" fillId="0" borderId="62" xfId="13" applyFont="1" applyFill="1" applyBorder="1" applyAlignment="1">
      <alignment horizontal="center" vertical="center"/>
    </xf>
    <xf numFmtId="0" fontId="28" fillId="0" borderId="64" xfId="13" applyFont="1" applyFill="1" applyBorder="1" applyAlignment="1">
      <alignment vertical="center"/>
    </xf>
    <xf numFmtId="0" fontId="28" fillId="0" borderId="65" xfId="13" applyFont="1" applyFill="1" applyBorder="1" applyAlignment="1">
      <alignment horizontal="center" vertical="center"/>
    </xf>
    <xf numFmtId="0" fontId="28" fillId="0" borderId="14" xfId="13" applyFont="1" applyFill="1" applyBorder="1" applyAlignment="1">
      <alignment vertical="center"/>
    </xf>
    <xf numFmtId="176" fontId="27" fillId="0" borderId="61" xfId="13" applyNumberFormat="1" applyFont="1" applyFill="1" applyBorder="1" applyAlignment="1">
      <alignment horizontal="center" vertical="center"/>
    </xf>
    <xf numFmtId="176" fontId="27" fillId="0" borderId="45" xfId="13" applyNumberFormat="1" applyFont="1" applyFill="1" applyBorder="1" applyAlignment="1">
      <alignment horizontal="center" vertical="center"/>
    </xf>
    <xf numFmtId="176" fontId="27" fillId="0" borderId="46" xfId="13" applyNumberFormat="1" applyFont="1" applyFill="1" applyBorder="1" applyAlignment="1">
      <alignment horizontal="center" vertical="center"/>
    </xf>
    <xf numFmtId="176" fontId="27" fillId="0" borderId="71" xfId="13" applyNumberFormat="1" applyFont="1" applyFill="1" applyBorder="1" applyAlignment="1">
      <alignment horizontal="center" vertical="center"/>
    </xf>
    <xf numFmtId="0" fontId="68" fillId="0" borderId="0" xfId="13" applyFont="1" applyFill="1" applyAlignment="1">
      <alignment vertical="center" wrapText="1" shrinkToFit="1"/>
    </xf>
    <xf numFmtId="0" fontId="68" fillId="0" borderId="0" xfId="13" applyFont="1" applyFill="1">
      <alignment vertical="center"/>
    </xf>
    <xf numFmtId="0" fontId="27" fillId="0" borderId="0" xfId="13" applyFont="1" applyFill="1" applyAlignment="1">
      <alignment horizontal="center" vertical="center"/>
    </xf>
    <xf numFmtId="0" fontId="52" fillId="0" borderId="0" xfId="13" applyFont="1" applyFill="1">
      <alignment vertical="center"/>
    </xf>
    <xf numFmtId="0" fontId="27" fillId="0" borderId="7" xfId="13" applyFont="1" applyFill="1" applyBorder="1">
      <alignment vertical="center"/>
    </xf>
    <xf numFmtId="0" fontId="27" fillId="0" borderId="0" xfId="13" applyFont="1" applyFill="1" applyBorder="1">
      <alignment vertical="center"/>
    </xf>
    <xf numFmtId="0" fontId="27" fillId="0" borderId="5" xfId="13" applyFont="1" applyFill="1" applyBorder="1">
      <alignment vertical="center"/>
    </xf>
  </cellXfs>
  <cellStyles count="15">
    <cellStyle name="桁区切り" xfId="1" builtinId="6"/>
    <cellStyle name="桁区切り 2" xfId="6"/>
    <cellStyle name="桁区切り 2 2" xfId="12"/>
    <cellStyle name="桁区切り 3" xfId="10"/>
    <cellStyle name="桁区切り 4" xfId="14"/>
    <cellStyle name="標準" xfId="0" builtinId="0"/>
    <cellStyle name="標準 2" xfId="5"/>
    <cellStyle name="標準 2 2" xfId="11"/>
    <cellStyle name="標準 3" xfId="9"/>
    <cellStyle name="標準 4" xfId="8"/>
    <cellStyle name="標準 5" xfId="13"/>
    <cellStyle name="標準_★(予算書用）23年度債務負担行為" xfId="2"/>
    <cellStyle name="標準_05　●市債現在高の推移" xfId="3"/>
    <cellStyle name="標準_第３表地方債(H23・一般・特別)" xfId="7"/>
    <cellStyle name="標準_予算概要・一覧表など（補正）" xfId="4"/>
  </cellStyles>
  <dxfs count="0"/>
  <tableStyles count="0" defaultTableStyle="TableStyleMedium2" defaultPivotStyle="PivotStyleLight16"/>
  <colors>
    <mruColors>
      <color rgb="FF3425FB"/>
      <color rgb="FF558ED5"/>
      <color rgb="FFFF3300"/>
      <color rgb="FFFFFF66"/>
      <color rgb="FFFFFF00"/>
      <color rgb="FF00FF00"/>
      <color rgb="FF00CC00"/>
      <color rgb="FFFF9900"/>
      <color rgb="FF00CC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13181257765294771"/>
          <c:y val="0.30048859867529959"/>
          <c:w val="0.66408628773043055"/>
          <c:h val="0.69125882364288482"/>
        </c:manualLayout>
      </c:layout>
      <c:doughnutChart>
        <c:varyColors val="1"/>
        <c:ser>
          <c:idx val="0"/>
          <c:order val="0"/>
          <c:dPt>
            <c:idx val="0"/>
            <c:bubble3D val="0"/>
            <c:spPr>
              <a:solidFill>
                <a:srgbClr val="00CCFF"/>
              </a:solidFill>
            </c:spPr>
            <c:extLst>
              <c:ext xmlns:c16="http://schemas.microsoft.com/office/drawing/2014/chart" uri="{C3380CC4-5D6E-409C-BE32-E72D297353CC}">
                <c16:uniqueId val="{00000000-D2D9-4591-83B2-0E3A62658AE7}"/>
              </c:ext>
            </c:extLst>
          </c:dPt>
          <c:dPt>
            <c:idx val="1"/>
            <c:bubble3D val="0"/>
            <c:spPr>
              <a:solidFill>
                <a:srgbClr val="FFFF00"/>
              </a:solidFill>
            </c:spPr>
            <c:extLst>
              <c:ext xmlns:c16="http://schemas.microsoft.com/office/drawing/2014/chart" uri="{C3380CC4-5D6E-409C-BE32-E72D297353CC}">
                <c16:uniqueId val="{00000001-D2D9-4591-83B2-0E3A62658AE7}"/>
              </c:ext>
            </c:extLst>
          </c:dPt>
          <c:dPt>
            <c:idx val="2"/>
            <c:bubble3D val="0"/>
            <c:spPr>
              <a:solidFill>
                <a:srgbClr val="FF0000"/>
              </a:solidFill>
            </c:spPr>
            <c:extLst>
              <c:ext xmlns:c16="http://schemas.microsoft.com/office/drawing/2014/chart" uri="{C3380CC4-5D6E-409C-BE32-E72D297353CC}">
                <c16:uniqueId val="{00000002-D2D9-4591-83B2-0E3A62658AE7}"/>
              </c:ext>
            </c:extLst>
          </c:dPt>
          <c:dPt>
            <c:idx val="3"/>
            <c:bubble3D val="0"/>
            <c:spPr>
              <a:solidFill>
                <a:srgbClr val="FF9900"/>
              </a:solidFill>
            </c:spPr>
            <c:extLst>
              <c:ext xmlns:c16="http://schemas.microsoft.com/office/drawing/2014/chart" uri="{C3380CC4-5D6E-409C-BE32-E72D297353CC}">
                <c16:uniqueId val="{00000003-D2D9-4591-83B2-0E3A62658AE7}"/>
              </c:ext>
            </c:extLst>
          </c:dPt>
          <c:dPt>
            <c:idx val="4"/>
            <c:bubble3D val="0"/>
            <c:spPr>
              <a:solidFill>
                <a:srgbClr val="00CC00"/>
              </a:solidFill>
            </c:spPr>
            <c:extLst>
              <c:ext xmlns:c16="http://schemas.microsoft.com/office/drawing/2014/chart" uri="{C3380CC4-5D6E-409C-BE32-E72D297353CC}">
                <c16:uniqueId val="{00000004-D2D9-4591-83B2-0E3A62658AE7}"/>
              </c:ext>
            </c:extLst>
          </c:dPt>
          <c:dPt>
            <c:idx val="5"/>
            <c:bubble3D val="0"/>
            <c:spPr>
              <a:solidFill>
                <a:srgbClr val="00B0F0"/>
              </a:solidFill>
            </c:spPr>
            <c:extLst>
              <c:ext xmlns:c16="http://schemas.microsoft.com/office/drawing/2014/chart" uri="{C3380CC4-5D6E-409C-BE32-E72D297353CC}">
                <c16:uniqueId val="{00000005-D2D9-4591-83B2-0E3A62658AE7}"/>
              </c:ext>
            </c:extLst>
          </c:dPt>
          <c:dPt>
            <c:idx val="6"/>
            <c:bubble3D val="0"/>
            <c:spPr>
              <a:solidFill>
                <a:srgbClr val="66FF66"/>
              </a:solidFill>
            </c:spPr>
            <c:extLst>
              <c:ext xmlns:c16="http://schemas.microsoft.com/office/drawing/2014/chart" uri="{C3380CC4-5D6E-409C-BE32-E72D297353CC}">
                <c16:uniqueId val="{00000006-D2D9-4591-83B2-0E3A62658AE7}"/>
              </c:ext>
            </c:extLst>
          </c:dPt>
          <c:dPt>
            <c:idx val="7"/>
            <c:bubble3D val="0"/>
            <c:spPr>
              <a:solidFill>
                <a:schemeClr val="tx2"/>
              </a:solidFill>
            </c:spPr>
            <c:extLst>
              <c:ext xmlns:c16="http://schemas.microsoft.com/office/drawing/2014/chart" uri="{C3380CC4-5D6E-409C-BE32-E72D297353CC}">
                <c16:uniqueId val="{00000007-D2D9-4591-83B2-0E3A62658AE7}"/>
              </c:ext>
            </c:extLst>
          </c:dPt>
          <c:dPt>
            <c:idx val="8"/>
            <c:bubble3D val="0"/>
            <c:spPr>
              <a:solidFill>
                <a:srgbClr val="FFCC00"/>
              </a:solidFill>
            </c:spPr>
            <c:extLst>
              <c:ext xmlns:c16="http://schemas.microsoft.com/office/drawing/2014/chart" uri="{C3380CC4-5D6E-409C-BE32-E72D297353CC}">
                <c16:uniqueId val="{00000008-D2D9-4591-83B2-0E3A62658AE7}"/>
              </c:ext>
            </c:extLst>
          </c:dPt>
          <c:dLbls>
            <c:dLbl>
              <c:idx val="0"/>
              <c:layout>
                <c:manualLayout>
                  <c:x val="1.6662990749678451E-3"/>
                  <c:y val="2.9698464978645717E-2"/>
                </c:manualLayout>
              </c:layout>
              <c:tx>
                <c:rich>
                  <a:bodyPr/>
                  <a:lstStyle/>
                  <a:p>
                    <a:r>
                      <a:rPr lang="ja-JP" altLang="en-US" sz="1200">
                        <a:latin typeface="BIZ UDゴシック" panose="020B0400000000000000" pitchFamily="49" charset="-128"/>
                        <a:ea typeface="BIZ UDゴシック" panose="020B0400000000000000" pitchFamily="49" charset="-128"/>
                      </a:rPr>
                      <a:t>市税
</a:t>
                    </a:r>
                    <a:r>
                      <a:rPr lang="en-US" altLang="ja-JP" sz="1200">
                        <a:latin typeface="BIZ UDゴシック" panose="020B0400000000000000" pitchFamily="49" charset="-128"/>
                        <a:ea typeface="BIZ UDゴシック" panose="020B0400000000000000" pitchFamily="49" charset="-128"/>
                      </a:rPr>
                      <a:t>47,149,000
40.8%</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2D9-4591-83B2-0E3A62658AE7}"/>
                </c:ext>
              </c:extLst>
            </c:dLbl>
            <c:dLbl>
              <c:idx val="1"/>
              <c:layout>
                <c:manualLayout>
                  <c:x val="-3.4365122339809289E-3"/>
                  <c:y val="-2.8886881174226961E-6"/>
                </c:manualLayout>
              </c:layout>
              <c:tx>
                <c:rich>
                  <a:bodyPr/>
                  <a:lstStyle/>
                  <a:p>
                    <a:r>
                      <a:rPr lang="ja-JP" altLang="en-US" sz="1200">
                        <a:latin typeface="BIZ UDゴシック" panose="020B0400000000000000" pitchFamily="49" charset="-128"/>
                        <a:ea typeface="BIZ UDゴシック" panose="020B0400000000000000" pitchFamily="49" charset="-128"/>
                      </a:rPr>
                      <a:t>国庫支出金
</a:t>
                    </a:r>
                    <a:r>
                      <a:rPr lang="en-US" altLang="ja-JP" sz="1200">
                        <a:latin typeface="BIZ UDゴシック" panose="020B0400000000000000" pitchFamily="49" charset="-128"/>
                        <a:ea typeface="BIZ UDゴシック" panose="020B0400000000000000" pitchFamily="49" charset="-128"/>
                      </a:rPr>
                      <a:t>20,868,640
18.0%</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2D9-4591-83B2-0E3A62658AE7}"/>
                </c:ext>
              </c:extLst>
            </c:dLbl>
            <c:dLbl>
              <c:idx val="2"/>
              <c:layout>
                <c:manualLayout>
                  <c:x val="-0.17916257581496786"/>
                  <c:y val="0.1152472386892729"/>
                </c:manualLayout>
              </c:layout>
              <c:tx>
                <c:rich>
                  <a:bodyPr/>
                  <a:lstStyle/>
                  <a:p>
                    <a:r>
                      <a:rPr lang="ja-JP" altLang="en-US" sz="1200">
                        <a:latin typeface="BIZ UDゴシック" panose="020B0400000000000000" pitchFamily="49" charset="-128"/>
                        <a:ea typeface="BIZ UDゴシック" panose="020B0400000000000000" pitchFamily="49" charset="-128"/>
                      </a:rPr>
                      <a:t>市債
</a:t>
                    </a:r>
                    <a:r>
                      <a:rPr lang="en-US" altLang="ja-JP" sz="1200">
                        <a:latin typeface="BIZ UDゴシック" panose="020B0400000000000000" pitchFamily="49" charset="-128"/>
                        <a:ea typeface="BIZ UDゴシック" panose="020B0400000000000000" pitchFamily="49" charset="-128"/>
                      </a:rPr>
                      <a:t>9,210,400
8.0%</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2D9-4591-83B2-0E3A62658AE7}"/>
                </c:ext>
              </c:extLst>
            </c:dLbl>
            <c:dLbl>
              <c:idx val="3"/>
              <c:layout>
                <c:manualLayout>
                  <c:x val="-0.16341657437512799"/>
                  <c:y val="-0.14366807818055571"/>
                </c:manualLayout>
              </c:layout>
              <c:tx>
                <c:rich>
                  <a:bodyPr/>
                  <a:lstStyle/>
                  <a:p>
                    <a:r>
                      <a:rPr lang="ja-JP" altLang="en-US" sz="1200">
                        <a:latin typeface="BIZ UDゴシック" panose="020B0400000000000000" pitchFamily="49" charset="-128"/>
                        <a:ea typeface="BIZ UDゴシック" panose="020B0400000000000000" pitchFamily="49" charset="-128"/>
                      </a:rPr>
                      <a:t>県支出金
</a:t>
                    </a:r>
                    <a:r>
                      <a:rPr lang="en-US" altLang="ja-JP" sz="1200">
                        <a:latin typeface="BIZ UDゴシック" panose="020B0400000000000000" pitchFamily="49" charset="-128"/>
                        <a:ea typeface="BIZ UDゴシック" panose="020B0400000000000000" pitchFamily="49" charset="-128"/>
                      </a:rPr>
                      <a:t>7,607,370
6.6%</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2D9-4591-83B2-0E3A62658AE7}"/>
                </c:ext>
              </c:extLst>
            </c:dLbl>
            <c:dLbl>
              <c:idx val="4"/>
              <c:layout>
                <c:manualLayout>
                  <c:x val="3.8717574246416246E-2"/>
                  <c:y val="-0.37422706959372387"/>
                </c:manualLayout>
              </c:layout>
              <c:tx>
                <c:rich>
                  <a:bodyPr/>
                  <a:lstStyle/>
                  <a:p>
                    <a:r>
                      <a:rPr lang="ja-JP" altLang="en-US" sz="1200">
                        <a:latin typeface="BIZ UDゴシック" panose="020B0400000000000000" pitchFamily="49" charset="-128"/>
                        <a:ea typeface="BIZ UDゴシック" panose="020B0400000000000000" pitchFamily="49" charset="-128"/>
                      </a:rPr>
                      <a:t>諸収入
</a:t>
                    </a:r>
                    <a:r>
                      <a:rPr lang="en-US" altLang="ja-JP" sz="1200">
                        <a:latin typeface="BIZ UDゴシック" panose="020B0400000000000000" pitchFamily="49" charset="-128"/>
                        <a:ea typeface="BIZ UDゴシック" panose="020B0400000000000000" pitchFamily="49" charset="-128"/>
                      </a:rPr>
                      <a:t>3,016,865
2.6%</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2D9-4591-83B2-0E3A62658AE7}"/>
                </c:ext>
              </c:extLst>
            </c:dLbl>
            <c:dLbl>
              <c:idx val="5"/>
              <c:layout>
                <c:manualLayout>
                  <c:x val="-0.15935290390663162"/>
                  <c:y val="0.21617194902263301"/>
                </c:manualLayout>
              </c:layout>
              <c:tx>
                <c:rich>
                  <a:bodyPr/>
                  <a:lstStyle/>
                  <a:p>
                    <a:r>
                      <a:rPr lang="ja-JP" altLang="en-US" sz="1200">
                        <a:latin typeface="BIZ UDゴシック" panose="020B0400000000000000" pitchFamily="49" charset="-128"/>
                        <a:ea typeface="BIZ UDゴシック" panose="020B0400000000000000" pitchFamily="49" charset="-128"/>
                      </a:rPr>
                      <a:t>地方消費税交付金
</a:t>
                    </a:r>
                    <a:r>
                      <a:rPr lang="en-US" altLang="ja-JP" sz="1200">
                        <a:latin typeface="BIZ UDゴシック" panose="020B0400000000000000" pitchFamily="49" charset="-128"/>
                        <a:ea typeface="BIZ UDゴシック" panose="020B0400000000000000" pitchFamily="49" charset="-128"/>
                      </a:rPr>
                      <a:t>7,700,000
6.7%</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2D9-4591-83B2-0E3A62658AE7}"/>
                </c:ext>
              </c:extLst>
            </c:dLbl>
            <c:dLbl>
              <c:idx val="6"/>
              <c:layout>
                <c:manualLayout>
                  <c:x val="-0.19718694602936018"/>
                  <c:y val="-0.18874784448843809"/>
                </c:manualLayout>
              </c:layout>
              <c:tx>
                <c:rich>
                  <a:bodyPr/>
                  <a:lstStyle/>
                  <a:p>
                    <a:r>
                      <a:rPr lang="ja-JP" altLang="en-US" sz="1200" b="0" i="0" u="none" strike="noStrike" kern="1200" baseline="0">
                        <a:solidFill>
                          <a:sysClr val="windowText" lastClr="000000"/>
                        </a:solidFill>
                        <a:latin typeface="BIZ UDゴシック" panose="020B0400000000000000" pitchFamily="49" charset="-128"/>
                        <a:ea typeface="BIZ UDゴシック" panose="020B0400000000000000" pitchFamily="49" charset="-128"/>
                      </a:rPr>
                      <a:t>地方交付税
</a:t>
                    </a:r>
                    <a:r>
                      <a:rPr lang="en-US" altLang="ja-JP" sz="1200" b="0" i="0" u="none" strike="noStrike" kern="1200" baseline="0">
                        <a:solidFill>
                          <a:sysClr val="windowText" lastClr="000000"/>
                        </a:solidFill>
                        <a:latin typeface="BIZ UDゴシック" panose="020B0400000000000000" pitchFamily="49" charset="-128"/>
                        <a:ea typeface="BIZ UDゴシック" panose="020B0400000000000000" pitchFamily="49" charset="-128"/>
                      </a:rPr>
                      <a:t>5,900,000
5.1%</a:t>
                    </a:r>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D9-4591-83B2-0E3A62658AE7}"/>
                </c:ext>
              </c:extLst>
            </c:dLbl>
            <c:dLbl>
              <c:idx val="7"/>
              <c:layout>
                <c:manualLayout>
                  <c:x val="-0.30233828993892553"/>
                  <c:y val="-1.6005670632331079E-2"/>
                </c:manualLayout>
              </c:layout>
              <c:tx>
                <c:rich>
                  <a:bodyPr/>
                  <a:lstStyle/>
                  <a:p>
                    <a:r>
                      <a:rPr lang="ja-JP" altLang="en-US" sz="1200">
                        <a:latin typeface="BIZ UDゴシック" panose="020B0400000000000000" pitchFamily="49" charset="-128"/>
                        <a:ea typeface="BIZ UDゴシック" panose="020B0400000000000000" pitchFamily="49" charset="-128"/>
                      </a:rPr>
                      <a:t>繰入金
</a:t>
                    </a:r>
                    <a:r>
                      <a:rPr lang="en-US" altLang="ja-JP" sz="1200">
                        <a:latin typeface="BIZ UDゴシック" panose="020B0400000000000000" pitchFamily="49" charset="-128"/>
                        <a:ea typeface="BIZ UDゴシック" panose="020B0400000000000000" pitchFamily="49" charset="-128"/>
                      </a:rPr>
                      <a:t>7,138,910</a:t>
                    </a:r>
                  </a:p>
                  <a:p>
                    <a:r>
                      <a:rPr lang="en-US" altLang="ja-JP" sz="1200">
                        <a:latin typeface="BIZ UDゴシック" panose="020B0400000000000000" pitchFamily="49" charset="-128"/>
                        <a:ea typeface="BIZ UDゴシック" panose="020B0400000000000000" pitchFamily="49" charset="-128"/>
                      </a:rPr>
                      <a:t>6.2%</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2D9-4591-83B2-0E3A62658AE7}"/>
                </c:ext>
              </c:extLst>
            </c:dLbl>
            <c:dLbl>
              <c:idx val="8"/>
              <c:layout>
                <c:manualLayout>
                  <c:x val="-6.7277809186713534E-3"/>
                  <c:y val="-3.1466892332816548E-2"/>
                </c:manualLayout>
              </c:layout>
              <c:tx>
                <c:rich>
                  <a:bodyPr/>
                  <a:lstStyle/>
                  <a:p>
                    <a:r>
                      <a:rPr lang="ja-JP" altLang="en-US" sz="1200">
                        <a:latin typeface="BIZ UDゴシック" panose="020B0400000000000000" pitchFamily="49" charset="-128"/>
                        <a:ea typeface="BIZ UDゴシック" panose="020B0400000000000000" pitchFamily="49" charset="-128"/>
                      </a:rPr>
                      <a:t>その他</a:t>
                    </a:r>
                  </a:p>
                  <a:p>
                    <a:r>
                      <a:rPr lang="en-US" altLang="ja-JP" sz="1200">
                        <a:latin typeface="BIZ UDゴシック" panose="020B0400000000000000" pitchFamily="49" charset="-128"/>
                        <a:ea typeface="BIZ UDゴシック" panose="020B0400000000000000" pitchFamily="49" charset="-128"/>
                      </a:rPr>
                      <a:t>7,108,815</a:t>
                    </a:r>
                  </a:p>
                  <a:p>
                    <a:r>
                      <a:rPr lang="en-US" altLang="ja-JP" sz="1200">
                        <a:latin typeface="BIZ UDゴシック" panose="020B0400000000000000" pitchFamily="49" charset="-128"/>
                        <a:ea typeface="BIZ UDゴシック" panose="020B0400000000000000" pitchFamily="49" charset="-128"/>
                      </a:rPr>
                      <a:t>6.0%</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D9-4591-83B2-0E3A62658AE7}"/>
                </c:ext>
              </c:extLst>
            </c:dLbl>
            <c:numFmt formatCode="0.0%" sourceLinked="0"/>
            <c:spPr>
              <a:noFill/>
              <a:ln>
                <a:noFill/>
              </a:ln>
              <a:effectLst/>
            </c:spPr>
            <c:txPr>
              <a:bodyPr/>
              <a:lstStyle/>
              <a:p>
                <a:pPr>
                  <a:defRPr sz="1200">
                    <a:latin typeface="BIZ UDゴシック" panose="020B0400000000000000" pitchFamily="49" charset="-128"/>
                    <a:ea typeface="BIZ UDゴシック" panose="020B0400000000000000" pitchFamily="49" charset="-128"/>
                  </a:defRPr>
                </a:pPr>
                <a:endParaRPr lang="ja-JP"/>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グラフデータ!$A$4:$C$12</c:f>
              <c:strCache>
                <c:ptCount val="9"/>
                <c:pt idx="0">
                  <c:v>市税</c:v>
                </c:pt>
                <c:pt idx="1">
                  <c:v>国庫支出金</c:v>
                </c:pt>
                <c:pt idx="2">
                  <c:v>市債</c:v>
                </c:pt>
                <c:pt idx="3">
                  <c:v>地方消費税交付金</c:v>
                </c:pt>
                <c:pt idx="4">
                  <c:v>県支出金</c:v>
                </c:pt>
                <c:pt idx="5">
                  <c:v>繰入金</c:v>
                </c:pt>
                <c:pt idx="6">
                  <c:v>地方交付税</c:v>
                </c:pt>
                <c:pt idx="7">
                  <c:v>諸収入</c:v>
                </c:pt>
                <c:pt idx="8">
                  <c:v>その他</c:v>
                </c:pt>
              </c:strCache>
            </c:strRef>
          </c:cat>
          <c:val>
            <c:numRef>
              <c:f>グラフデータ!$D$4:$D$12</c:f>
              <c:numCache>
                <c:formatCode>#,##0;"△ "#,##0</c:formatCode>
                <c:ptCount val="9"/>
                <c:pt idx="0">
                  <c:v>47149000</c:v>
                </c:pt>
                <c:pt idx="1">
                  <c:v>20868640</c:v>
                </c:pt>
                <c:pt idx="2">
                  <c:v>9210400</c:v>
                </c:pt>
                <c:pt idx="3">
                  <c:v>7700000</c:v>
                </c:pt>
                <c:pt idx="4">
                  <c:v>7607370</c:v>
                </c:pt>
                <c:pt idx="5">
                  <c:v>7138910</c:v>
                </c:pt>
                <c:pt idx="6">
                  <c:v>5900000</c:v>
                </c:pt>
                <c:pt idx="7">
                  <c:v>3016865</c:v>
                </c:pt>
                <c:pt idx="8">
                  <c:v>7108815</c:v>
                </c:pt>
              </c:numCache>
            </c:numRef>
          </c:val>
          <c:extLst>
            <c:ext xmlns:c16="http://schemas.microsoft.com/office/drawing/2014/chart" uri="{C3380CC4-5D6E-409C-BE32-E72D297353CC}">
              <c16:uniqueId val="{00000009-D2D9-4591-83B2-0E3A62658AE7}"/>
            </c:ext>
          </c:extLst>
        </c:ser>
        <c:dLbls>
          <c:showLegendKey val="0"/>
          <c:showVal val="1"/>
          <c:showCatName val="1"/>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alignWithMargins="0"/>
    <c:pageMargins b="1" l="0.75" r="0.75" t="1" header="0.51200000000000001" footer="0.51200000000000001"/>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2534455640871026"/>
          <c:y val="1.5875140606922165E-2"/>
          <c:w val="0.74612878060709464"/>
          <c:h val="0.88571428571428568"/>
        </c:manualLayout>
      </c:layout>
      <c:barChart>
        <c:barDir val="bar"/>
        <c:grouping val="stacked"/>
        <c:varyColors val="1"/>
        <c:ser>
          <c:idx val="0"/>
          <c:order val="0"/>
          <c:invertIfNegative val="1"/>
          <c:dPt>
            <c:idx val="0"/>
            <c:invertIfNegative val="1"/>
            <c:bubble3D val="0"/>
            <c:spPr>
              <a:solidFill>
                <a:schemeClr val="tx2">
                  <a:lumMod val="40000"/>
                  <a:lumOff val="60000"/>
                </a:schemeClr>
              </a:solidFill>
            </c:spPr>
            <c:extLst>
              <c:ext xmlns:c16="http://schemas.microsoft.com/office/drawing/2014/chart" uri="{C3380CC4-5D6E-409C-BE32-E72D297353CC}">
                <c16:uniqueId val="{00000000-7FEB-4F76-A245-43D26B3C88A9}"/>
              </c:ext>
            </c:extLst>
          </c:dPt>
          <c:dPt>
            <c:idx val="1"/>
            <c:invertIfNegative val="1"/>
            <c:bubble3D val="0"/>
            <c:spPr>
              <a:solidFill>
                <a:srgbClr val="FFC000"/>
              </a:solidFill>
            </c:spPr>
            <c:extLst>
              <c:ext xmlns:c16="http://schemas.microsoft.com/office/drawing/2014/chart" uri="{C3380CC4-5D6E-409C-BE32-E72D297353CC}">
                <c16:uniqueId val="{00000001-7FEB-4F76-A245-43D26B3C88A9}"/>
              </c:ext>
            </c:extLst>
          </c:dPt>
          <c:dPt>
            <c:idx val="2"/>
            <c:invertIfNegative val="1"/>
            <c:bubble3D val="0"/>
            <c:spPr>
              <a:solidFill>
                <a:schemeClr val="accent3">
                  <a:lumMod val="40000"/>
                  <a:lumOff val="60000"/>
                </a:schemeClr>
              </a:solidFill>
            </c:spPr>
            <c:extLst>
              <c:ext xmlns:c16="http://schemas.microsoft.com/office/drawing/2014/chart" uri="{C3380CC4-5D6E-409C-BE32-E72D297353CC}">
                <c16:uniqueId val="{00000002-7FEB-4F76-A245-43D26B3C88A9}"/>
              </c:ext>
            </c:extLst>
          </c:dPt>
          <c:dLbls>
            <c:dLbl>
              <c:idx val="0"/>
              <c:layout>
                <c:manualLayout>
                  <c:x val="0.20121456246540612"/>
                  <c:y val="-3.8594088782380465E-3"/>
                </c:manualLayout>
              </c:layou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EB-4F76-A245-43D26B3C88A9}"/>
                </c:ext>
              </c:extLst>
            </c:dLbl>
            <c:dLbl>
              <c:idx val="1"/>
              <c:layout>
                <c:manualLayout>
                  <c:x val="0.21274554966343492"/>
                  <c:y val="4.5021111491498345E-3"/>
                </c:manualLayout>
              </c:layou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EB-4F76-A245-43D26B3C88A9}"/>
                </c:ext>
              </c:extLst>
            </c:dLbl>
            <c:dLbl>
              <c:idx val="2"/>
              <c:layout>
                <c:manualLayout>
                  <c:x val="0.18604374453193356"/>
                  <c:y val="-5.5318954695880275E-3"/>
                </c:manualLayout>
              </c:layou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EB-4F76-A245-43D26B3C88A9}"/>
                </c:ext>
              </c:extLst>
            </c:dLbl>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showLegendKey val="1"/>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(グラフデータ!$D$3,グラフデータ!$G$3,グラフデータ!$I$3)</c:f>
              <c:strCache>
                <c:ptCount val="3"/>
                <c:pt idx="0">
                  <c:v>令和6年度</c:v>
                </c:pt>
                <c:pt idx="1">
                  <c:v>令和5年度</c:v>
                </c:pt>
                <c:pt idx="2">
                  <c:v>令和4年度</c:v>
                </c:pt>
              </c:strCache>
            </c:strRef>
          </c:cat>
          <c:val>
            <c:numRef>
              <c:f>(グラフデータ!$D$27,グラフデータ!$G$27,グラフデータ!$I$27)</c:f>
              <c:numCache>
                <c:formatCode>#,##0;"△ "#,##0</c:formatCode>
                <c:ptCount val="3"/>
                <c:pt idx="0">
                  <c:v>115700000</c:v>
                </c:pt>
                <c:pt idx="1">
                  <c:v>111800000</c:v>
                </c:pt>
                <c:pt idx="2">
                  <c:v>106000000</c:v>
                </c:pt>
              </c:numCache>
            </c:numRef>
          </c:val>
          <c:extLst>
            <c:ext xmlns:c16="http://schemas.microsoft.com/office/drawing/2014/chart" uri="{C3380CC4-5D6E-409C-BE32-E72D297353CC}">
              <c16:uniqueId val="{00000003-7FEB-4F76-A245-43D26B3C88A9}"/>
            </c:ext>
          </c:extLst>
        </c:ser>
        <c:dLbls>
          <c:showLegendKey val="0"/>
          <c:showVal val="0"/>
          <c:showCatName val="0"/>
          <c:showSerName val="0"/>
          <c:showPercent val="0"/>
          <c:showBubbleSize val="0"/>
        </c:dLbls>
        <c:gapWidth val="30"/>
        <c:overlap val="100"/>
        <c:axId val="206864768"/>
        <c:axId val="206866304"/>
      </c:barChart>
      <c:catAx>
        <c:axId val="206864768"/>
        <c:scaling>
          <c:orientation val="minMax"/>
        </c:scaling>
        <c:delete val="0"/>
        <c:axPos val="l"/>
        <c:numFmt formatCode="General" sourceLinked="1"/>
        <c:majorTickMark val="none"/>
        <c:minorTickMark val="none"/>
        <c:tickLblPos val="low"/>
        <c:txPr>
          <a:bodyPr rot="0" vert="horz"/>
          <a:lstStyle/>
          <a:p>
            <a:pPr>
              <a:defRPr sz="1050">
                <a:latin typeface="BIZ UDゴシック" panose="020B0400000000000000" pitchFamily="49" charset="-128"/>
                <a:ea typeface="BIZ UDゴシック" panose="020B0400000000000000" pitchFamily="49" charset="-128"/>
              </a:defRPr>
            </a:pPr>
            <a:endParaRPr lang="ja-JP"/>
          </a:p>
        </c:txPr>
        <c:crossAx val="206866304"/>
        <c:crosses val="autoZero"/>
        <c:auto val="0"/>
        <c:lblAlgn val="ctr"/>
        <c:lblOffset val="100"/>
        <c:tickLblSkip val="1"/>
        <c:tickMarkSkip val="1"/>
        <c:noMultiLvlLbl val="0"/>
      </c:catAx>
      <c:valAx>
        <c:axId val="206866304"/>
        <c:scaling>
          <c:orientation val="minMax"/>
          <c:max val="120000000"/>
          <c:min val="0"/>
        </c:scaling>
        <c:delete val="0"/>
        <c:axPos val="b"/>
        <c:majorGridlines/>
        <c:numFmt formatCode="#,##0;&quot;△ &quot;#,##0" sourceLinked="1"/>
        <c:majorTickMark val="in"/>
        <c:minorTickMark val="in"/>
        <c:tickLblPos val="nextTo"/>
        <c:txPr>
          <a:bodyPr rot="0" vert="horz"/>
          <a:lstStyle/>
          <a:p>
            <a:pPr>
              <a:defRPr>
                <a:latin typeface="BIZ UDゴシック" panose="020B0400000000000000" pitchFamily="49" charset="-128"/>
                <a:ea typeface="BIZ UDゴシック" panose="020B0400000000000000" pitchFamily="49" charset="-128"/>
              </a:defRPr>
            </a:pPr>
            <a:endParaRPr lang="ja-JP"/>
          </a:p>
        </c:txPr>
        <c:crossAx val="206864768"/>
        <c:crosses val="autoZero"/>
        <c:crossBetween val="between"/>
        <c:majorUnit val="50000000"/>
        <c:minorUnit val="10000000"/>
      </c:valAx>
    </c:plotArea>
    <c:plotVisOnly val="1"/>
    <c:dispBlanksAs val="gap"/>
    <c:showDLblsOverMax val="0"/>
  </c:chart>
  <c:spPr>
    <a:noFill/>
    <a:ln>
      <a:noFill/>
    </a:ln>
  </c:spPr>
  <c:printSettings>
    <c:headerFooter alignWithMargins="0"/>
    <c:pageMargins b="1" l="0.75" r="0.75" t="1"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74566050990838E-2"/>
          <c:y val="0.15846471378259816"/>
          <c:w val="0.87004341929377782"/>
          <c:h val="0.71426758837240967"/>
        </c:manualLayout>
      </c:layout>
      <c:doughnutChart>
        <c:varyColors val="1"/>
        <c:ser>
          <c:idx val="2"/>
          <c:order val="0"/>
          <c:dPt>
            <c:idx val="0"/>
            <c:bubble3D val="0"/>
            <c:spPr>
              <a:solidFill>
                <a:srgbClr val="00CCFF"/>
              </a:solidFill>
            </c:spPr>
            <c:extLst>
              <c:ext xmlns:c16="http://schemas.microsoft.com/office/drawing/2014/chart" uri="{C3380CC4-5D6E-409C-BE32-E72D297353CC}">
                <c16:uniqueId val="{00000001-8403-4CF4-B906-F6C04AFABAA6}"/>
              </c:ext>
            </c:extLst>
          </c:dPt>
          <c:dPt>
            <c:idx val="1"/>
            <c:bubble3D val="0"/>
            <c:spPr>
              <a:solidFill>
                <a:srgbClr val="FFFF00"/>
              </a:solidFill>
            </c:spPr>
            <c:extLst>
              <c:ext xmlns:c16="http://schemas.microsoft.com/office/drawing/2014/chart" uri="{C3380CC4-5D6E-409C-BE32-E72D297353CC}">
                <c16:uniqueId val="{00000003-8403-4CF4-B906-F6C04AFABAA6}"/>
              </c:ext>
            </c:extLst>
          </c:dPt>
          <c:dPt>
            <c:idx val="2"/>
            <c:bubble3D val="0"/>
            <c:spPr>
              <a:solidFill>
                <a:srgbClr val="FF0000"/>
              </a:solidFill>
            </c:spPr>
            <c:extLst>
              <c:ext xmlns:c16="http://schemas.microsoft.com/office/drawing/2014/chart" uri="{C3380CC4-5D6E-409C-BE32-E72D297353CC}">
                <c16:uniqueId val="{00000005-8403-4CF4-B906-F6C04AFABAA6}"/>
              </c:ext>
            </c:extLst>
          </c:dPt>
          <c:dPt>
            <c:idx val="3"/>
            <c:bubble3D val="0"/>
            <c:spPr>
              <a:solidFill>
                <a:srgbClr val="FF9900"/>
              </a:solidFill>
            </c:spPr>
            <c:extLst>
              <c:ext xmlns:c16="http://schemas.microsoft.com/office/drawing/2014/chart" uri="{C3380CC4-5D6E-409C-BE32-E72D297353CC}">
                <c16:uniqueId val="{00000007-8403-4CF4-B906-F6C04AFABAA6}"/>
              </c:ext>
            </c:extLst>
          </c:dPt>
          <c:dPt>
            <c:idx val="4"/>
            <c:bubble3D val="0"/>
            <c:spPr>
              <a:solidFill>
                <a:srgbClr val="00CC00"/>
              </a:solidFill>
            </c:spPr>
            <c:extLst>
              <c:ext xmlns:c16="http://schemas.microsoft.com/office/drawing/2014/chart" uri="{C3380CC4-5D6E-409C-BE32-E72D297353CC}">
                <c16:uniqueId val="{00000009-8403-4CF4-B906-F6C04AFABAA6}"/>
              </c:ext>
            </c:extLst>
          </c:dPt>
          <c:dPt>
            <c:idx val="5"/>
            <c:bubble3D val="0"/>
            <c:spPr>
              <a:solidFill>
                <a:srgbClr val="00B0F0"/>
              </a:solidFill>
            </c:spPr>
            <c:extLst>
              <c:ext xmlns:c16="http://schemas.microsoft.com/office/drawing/2014/chart" uri="{C3380CC4-5D6E-409C-BE32-E72D297353CC}">
                <c16:uniqueId val="{0000000B-8403-4CF4-B906-F6C04AFABAA6}"/>
              </c:ext>
            </c:extLst>
          </c:dPt>
          <c:dPt>
            <c:idx val="6"/>
            <c:bubble3D val="0"/>
            <c:spPr>
              <a:solidFill>
                <a:srgbClr val="66FF66"/>
              </a:solidFill>
            </c:spPr>
            <c:extLst>
              <c:ext xmlns:c16="http://schemas.microsoft.com/office/drawing/2014/chart" uri="{C3380CC4-5D6E-409C-BE32-E72D297353CC}">
                <c16:uniqueId val="{0000000D-8403-4CF4-B906-F6C04AFABAA6}"/>
              </c:ext>
            </c:extLst>
          </c:dPt>
          <c:dPt>
            <c:idx val="7"/>
            <c:bubble3D val="0"/>
            <c:spPr>
              <a:solidFill>
                <a:srgbClr val="FFCC00"/>
              </a:solidFill>
            </c:spPr>
            <c:extLst>
              <c:ext xmlns:c16="http://schemas.microsoft.com/office/drawing/2014/chart" uri="{C3380CC4-5D6E-409C-BE32-E72D297353CC}">
                <c16:uniqueId val="{0000000F-8403-4CF4-B906-F6C04AFABAA6}"/>
              </c:ext>
            </c:extLst>
          </c:dPt>
          <c:dLbls>
            <c:dLbl>
              <c:idx val="0"/>
              <c:layout>
                <c:manualLayout>
                  <c:x val="-4.9180327868852463E-3"/>
                  <c:y val="2.2670917463691109E-2"/>
                </c:manualLayout>
              </c:layout>
              <c:tx>
                <c:rich>
                  <a:bodyPr/>
                  <a:lstStyle/>
                  <a:p>
                    <a:r>
                      <a:rPr lang="ja-JP" altLang="en-US" sz="1600">
                        <a:latin typeface="BIZ UDゴシック" panose="020B0400000000000000" pitchFamily="49" charset="-128"/>
                        <a:ea typeface="BIZ UDゴシック" panose="020B0400000000000000" pitchFamily="49" charset="-128"/>
                      </a:rPr>
                      <a:t>民生費</a:t>
                    </a:r>
                  </a:p>
                  <a:p>
                    <a:r>
                      <a:rPr lang="ja-JP" altLang="en-US" sz="1600">
                        <a:latin typeface="BIZ UDゴシック" panose="020B0400000000000000" pitchFamily="49" charset="-128"/>
                        <a:ea typeface="BIZ UDゴシック" panose="020B0400000000000000" pitchFamily="49" charset="-128"/>
                      </a:rPr>
                      <a:t> </a:t>
                    </a:r>
                    <a:r>
                      <a:rPr lang="en-US" altLang="ja-JP" sz="1600">
                        <a:latin typeface="BIZ UDゴシック" panose="020B0400000000000000" pitchFamily="49" charset="-128"/>
                        <a:ea typeface="BIZ UDゴシック" panose="020B0400000000000000" pitchFamily="49" charset="-128"/>
                      </a:rPr>
                      <a:t>55,528,644</a:t>
                    </a:r>
                  </a:p>
                  <a:p>
                    <a:r>
                      <a:rPr lang="en-US" altLang="ja-JP" sz="1600">
                        <a:latin typeface="BIZ UDゴシック" panose="020B0400000000000000" pitchFamily="49" charset="-128"/>
                        <a:ea typeface="BIZ UDゴシック" panose="020B0400000000000000" pitchFamily="49" charset="-128"/>
                      </a:rPr>
                      <a:t> 48.0%</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03-4CF4-B906-F6C04AFABAA6}"/>
                </c:ext>
              </c:extLst>
            </c:dLbl>
            <c:dLbl>
              <c:idx val="1"/>
              <c:layout>
                <c:manualLayout>
                  <c:x val="-0.23372105331095908"/>
                  <c:y val="-0.25646854717017969"/>
                </c:manualLayout>
              </c:layout>
              <c:tx>
                <c:rich>
                  <a:bodyPr/>
                  <a:lstStyle/>
                  <a:p>
                    <a:r>
                      <a:rPr lang="ja-JP" altLang="en-US" sz="1600">
                        <a:latin typeface="BIZ UDゴシック" panose="020B0400000000000000" pitchFamily="49" charset="-128"/>
                        <a:ea typeface="BIZ UDゴシック" panose="020B0400000000000000" pitchFamily="49" charset="-128"/>
                      </a:rPr>
                      <a:t>衛生費</a:t>
                    </a:r>
                  </a:p>
                  <a:p>
                    <a:r>
                      <a:rPr lang="en-US" altLang="ja-JP" sz="1600">
                        <a:latin typeface="BIZ UDゴシック" panose="020B0400000000000000" pitchFamily="49" charset="-128"/>
                        <a:ea typeface="BIZ UDゴシック" panose="020B0400000000000000" pitchFamily="49" charset="-128"/>
                      </a:rPr>
                      <a:t>10,654,617</a:t>
                    </a:r>
                  </a:p>
                  <a:p>
                    <a:r>
                      <a:rPr lang="en-US" altLang="ja-JP" sz="1600">
                        <a:latin typeface="BIZ UDゴシック" panose="020B0400000000000000" pitchFamily="49" charset="-128"/>
                        <a:ea typeface="BIZ UDゴシック" panose="020B0400000000000000" pitchFamily="49" charset="-128"/>
                      </a:rPr>
                      <a:t>9.2%</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03-4CF4-B906-F6C04AFABAA6}"/>
                </c:ext>
              </c:extLst>
            </c:dLbl>
            <c:dLbl>
              <c:idx val="2"/>
              <c:layout>
                <c:manualLayout>
                  <c:x val="0.18542209887698463"/>
                  <c:y val="0.11157237651350967"/>
                </c:manualLayout>
              </c:layout>
              <c:tx>
                <c:rich>
                  <a:bodyPr/>
                  <a:lstStyle/>
                  <a:p>
                    <a:r>
                      <a:rPr lang="ja-JP" altLang="en-US" sz="1600">
                        <a:latin typeface="BIZ UDゴシック" panose="020B0400000000000000" pitchFamily="49" charset="-128"/>
                        <a:ea typeface="BIZ UDゴシック" panose="020B0400000000000000" pitchFamily="49" charset="-128"/>
                      </a:rPr>
                      <a:t>教育費</a:t>
                    </a:r>
                  </a:p>
                  <a:p>
                    <a:r>
                      <a:rPr lang="en-US" altLang="ja-JP" sz="1600">
                        <a:latin typeface="BIZ UDゴシック" panose="020B0400000000000000" pitchFamily="49" charset="-128"/>
                        <a:ea typeface="BIZ UDゴシック" panose="020B0400000000000000" pitchFamily="49" charset="-128"/>
                      </a:rPr>
                      <a:t>15,127,824</a:t>
                    </a:r>
                  </a:p>
                  <a:p>
                    <a:r>
                      <a:rPr lang="en-US" altLang="ja-JP" sz="1600">
                        <a:latin typeface="BIZ UDゴシック" panose="020B0400000000000000" pitchFamily="49" charset="-128"/>
                        <a:ea typeface="BIZ UDゴシック" panose="020B0400000000000000" pitchFamily="49" charset="-128"/>
                      </a:rPr>
                      <a:t>13.1%</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03-4CF4-B906-F6C04AFABAA6}"/>
                </c:ext>
              </c:extLst>
            </c:dLbl>
            <c:dLbl>
              <c:idx val="3"/>
              <c:layout>
                <c:manualLayout>
                  <c:x val="3.8371498644636633E-2"/>
                  <c:y val="-0.14056314692863184"/>
                </c:manualLayout>
              </c:layout>
              <c:tx>
                <c:rich>
                  <a:bodyPr/>
                  <a:lstStyle/>
                  <a:p>
                    <a:r>
                      <a:rPr lang="ja-JP" altLang="en-US" sz="1600">
                        <a:latin typeface="BIZ UDゴシック" panose="020B0400000000000000" pitchFamily="49" charset="-128"/>
                        <a:ea typeface="BIZ UDゴシック" panose="020B0400000000000000" pitchFamily="49" charset="-128"/>
                      </a:rPr>
                      <a:t>土木費</a:t>
                    </a:r>
                  </a:p>
                  <a:p>
                    <a:r>
                      <a:rPr lang="en-US" altLang="ja-JP" sz="1600">
                        <a:latin typeface="BIZ UDゴシック" panose="020B0400000000000000" pitchFamily="49" charset="-128"/>
                        <a:ea typeface="BIZ UDゴシック" panose="020B0400000000000000" pitchFamily="49" charset="-128"/>
                      </a:rPr>
                      <a:t>9,770,890</a:t>
                    </a:r>
                  </a:p>
                  <a:p>
                    <a:r>
                      <a:rPr lang="en-US" altLang="ja-JP" sz="1600">
                        <a:latin typeface="BIZ UDゴシック" panose="020B0400000000000000" pitchFamily="49" charset="-128"/>
                        <a:ea typeface="BIZ UDゴシック" panose="020B0400000000000000" pitchFamily="49" charset="-128"/>
                      </a:rPr>
                      <a:t>8.4%</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03-4CF4-B906-F6C04AFABAA6}"/>
                </c:ext>
              </c:extLst>
            </c:dLbl>
            <c:dLbl>
              <c:idx val="4"/>
              <c:layout>
                <c:manualLayout>
                  <c:x val="-1.3095520846779398E-2"/>
                  <c:y val="0.28531171116894127"/>
                </c:manualLayout>
              </c:layout>
              <c:tx>
                <c:rich>
                  <a:bodyPr/>
                  <a:lstStyle/>
                  <a:p>
                    <a:r>
                      <a:rPr lang="ja-JP" altLang="en-US" sz="1600">
                        <a:latin typeface="BIZ UDゴシック" panose="020B0400000000000000" pitchFamily="49" charset="-128"/>
                        <a:ea typeface="BIZ UDゴシック" panose="020B0400000000000000" pitchFamily="49" charset="-128"/>
                      </a:rPr>
                      <a:t>総務費</a:t>
                    </a:r>
                  </a:p>
                  <a:p>
                    <a:r>
                      <a:rPr lang="en-US" altLang="ja-JP" sz="1600">
                        <a:latin typeface="BIZ UDゴシック" panose="020B0400000000000000" pitchFamily="49" charset="-128"/>
                        <a:ea typeface="BIZ UDゴシック" panose="020B0400000000000000" pitchFamily="49" charset="-128"/>
                      </a:rPr>
                      <a:t>10,949,269</a:t>
                    </a:r>
                  </a:p>
                  <a:p>
                    <a:r>
                      <a:rPr lang="en-US" altLang="ja-JP" sz="1600">
                        <a:latin typeface="BIZ UDゴシック" panose="020B0400000000000000" pitchFamily="49" charset="-128"/>
                        <a:ea typeface="BIZ UDゴシック" panose="020B0400000000000000" pitchFamily="49" charset="-128"/>
                      </a:rPr>
                      <a:t>9.5%</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03-4CF4-B906-F6C04AFABAA6}"/>
                </c:ext>
              </c:extLst>
            </c:dLbl>
            <c:dLbl>
              <c:idx val="5"/>
              <c:layout>
                <c:manualLayout>
                  <c:x val="-4.8953143152188541E-3"/>
                  <c:y val="-9.8279319760906612E-3"/>
                </c:manualLayout>
              </c:layout>
              <c:tx>
                <c:rich>
                  <a:bodyPr/>
                  <a:lstStyle/>
                  <a:p>
                    <a:r>
                      <a:rPr lang="ja-JP" altLang="en-US" sz="1600">
                        <a:latin typeface="BIZ UDゴシック" panose="020B0400000000000000" pitchFamily="49" charset="-128"/>
                        <a:ea typeface="BIZ UDゴシック" panose="020B0400000000000000" pitchFamily="49" charset="-128"/>
                      </a:rPr>
                      <a:t>公債費</a:t>
                    </a:r>
                  </a:p>
                  <a:p>
                    <a:r>
                      <a:rPr lang="en-US" altLang="ja-JP" sz="1600">
                        <a:latin typeface="BIZ UDゴシック" panose="020B0400000000000000" pitchFamily="49" charset="-128"/>
                        <a:ea typeface="BIZ UDゴシック" panose="020B0400000000000000" pitchFamily="49" charset="-128"/>
                      </a:rPr>
                      <a:t>7,727,231</a:t>
                    </a:r>
                  </a:p>
                  <a:p>
                    <a:r>
                      <a:rPr lang="en-US" altLang="ja-JP" sz="1600">
                        <a:latin typeface="BIZ UDゴシック" panose="020B0400000000000000" pitchFamily="49" charset="-128"/>
                        <a:ea typeface="BIZ UDゴシック" panose="020B0400000000000000" pitchFamily="49" charset="-128"/>
                      </a:rPr>
                      <a:t>6.7%</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403-4CF4-B906-F6C04AFABAA6}"/>
                </c:ext>
              </c:extLst>
            </c:dLbl>
            <c:dLbl>
              <c:idx val="6"/>
              <c:layout>
                <c:manualLayout>
                  <c:x val="-0.1187699754743772"/>
                  <c:y val="-0.15516234753333835"/>
                </c:manualLayout>
              </c:layout>
              <c:tx>
                <c:rich>
                  <a:bodyPr/>
                  <a:lstStyle/>
                  <a:p>
                    <a:r>
                      <a:rPr lang="ja-JP" altLang="en-US" sz="1600">
                        <a:latin typeface="BIZ UDゴシック" panose="020B0400000000000000" pitchFamily="49" charset="-128"/>
                        <a:ea typeface="BIZ UDゴシック" panose="020B0400000000000000" pitchFamily="49" charset="-128"/>
                      </a:rPr>
                      <a:t>消防費</a:t>
                    </a:r>
                  </a:p>
                  <a:p>
                    <a:r>
                      <a:rPr lang="en-US" altLang="ja-JP" sz="1600">
                        <a:latin typeface="BIZ UDゴシック" panose="020B0400000000000000" pitchFamily="49" charset="-128"/>
                        <a:ea typeface="BIZ UDゴシック" panose="020B0400000000000000" pitchFamily="49" charset="-128"/>
                      </a:rPr>
                      <a:t>3,993,352</a:t>
                    </a:r>
                  </a:p>
                  <a:p>
                    <a:r>
                      <a:rPr lang="en-US" altLang="ja-JP" sz="1600">
                        <a:latin typeface="BIZ UDゴシック" panose="020B0400000000000000" pitchFamily="49" charset="-128"/>
                        <a:ea typeface="BIZ UDゴシック" panose="020B0400000000000000" pitchFamily="49" charset="-128"/>
                      </a:rPr>
                      <a:t>3.5%</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403-4CF4-B906-F6C04AFABAA6}"/>
                </c:ext>
              </c:extLst>
            </c:dLbl>
            <c:dLbl>
              <c:idx val="7"/>
              <c:layout>
                <c:manualLayout>
                  <c:x val="3.2762346424488348E-3"/>
                  <c:y val="-0.15312991448824315"/>
                </c:manualLayout>
              </c:layout>
              <c:tx>
                <c:rich>
                  <a:bodyPr/>
                  <a:lstStyle/>
                  <a:p>
                    <a:r>
                      <a:rPr lang="ja-JP" altLang="en-US" sz="1600">
                        <a:latin typeface="BIZ UDゴシック" panose="020B0400000000000000" pitchFamily="49" charset="-128"/>
                        <a:ea typeface="BIZ UDゴシック" panose="020B0400000000000000" pitchFamily="49" charset="-128"/>
                      </a:rPr>
                      <a:t>その他</a:t>
                    </a:r>
                  </a:p>
                  <a:p>
                    <a:r>
                      <a:rPr lang="en-US" altLang="ja-JP" sz="1600">
                        <a:latin typeface="BIZ UDゴシック" panose="020B0400000000000000" pitchFamily="49" charset="-128"/>
                        <a:ea typeface="BIZ UDゴシック" panose="020B0400000000000000" pitchFamily="49" charset="-128"/>
                      </a:rPr>
                      <a:t>1,948,173</a:t>
                    </a:r>
                  </a:p>
                  <a:p>
                    <a:r>
                      <a:rPr lang="en-US" altLang="ja-JP" sz="1600">
                        <a:latin typeface="BIZ UDゴシック" panose="020B0400000000000000" pitchFamily="49" charset="-128"/>
                        <a:ea typeface="BIZ UDゴシック" panose="020B0400000000000000" pitchFamily="49" charset="-128"/>
                      </a:rPr>
                      <a:t>1.6%</a:t>
                    </a:r>
                    <a:endParaRPr lang="ja-JP" altLang="en-US"/>
                  </a:p>
                </c:rich>
              </c:tx>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403-4CF4-B906-F6C04AFABAA6}"/>
                </c:ext>
              </c:extLst>
            </c:dLbl>
            <c:numFmt formatCode="0.0%" sourceLinked="0"/>
            <c:spPr>
              <a:noFill/>
              <a:ln>
                <a:noFill/>
              </a:ln>
              <a:effectLst/>
            </c:spPr>
            <c:txPr>
              <a:bodyPr/>
              <a:lstStyle/>
              <a:p>
                <a:pPr>
                  <a:defRPr sz="1600">
                    <a:latin typeface="BIZ UDゴシック" panose="020B0400000000000000" pitchFamily="49" charset="-128"/>
                    <a:ea typeface="BIZ UDゴシック" panose="020B0400000000000000" pitchFamily="49" charset="-128"/>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グラフデータ!$A$32:$A$39</c:f>
              <c:strCache>
                <c:ptCount val="8"/>
                <c:pt idx="0">
                  <c:v>民生費</c:v>
                </c:pt>
                <c:pt idx="1">
                  <c:v>教育費</c:v>
                </c:pt>
                <c:pt idx="2">
                  <c:v>総務費</c:v>
                </c:pt>
                <c:pt idx="3">
                  <c:v>衛生費</c:v>
                </c:pt>
                <c:pt idx="4">
                  <c:v>土木費</c:v>
                </c:pt>
                <c:pt idx="5">
                  <c:v>公債費</c:v>
                </c:pt>
                <c:pt idx="6">
                  <c:v>消防費</c:v>
                </c:pt>
                <c:pt idx="7">
                  <c:v>その他</c:v>
                </c:pt>
              </c:strCache>
            </c:strRef>
          </c:cat>
          <c:val>
            <c:numRef>
              <c:f>グラフデータ!$D$32:$D$39</c:f>
              <c:numCache>
                <c:formatCode>#,##0;"△ "#,##0</c:formatCode>
                <c:ptCount val="8"/>
                <c:pt idx="0">
                  <c:v>55528644</c:v>
                </c:pt>
                <c:pt idx="1">
                  <c:v>15127824</c:v>
                </c:pt>
                <c:pt idx="2">
                  <c:v>10949269</c:v>
                </c:pt>
                <c:pt idx="3">
                  <c:v>10654617</c:v>
                </c:pt>
                <c:pt idx="4">
                  <c:v>9770890</c:v>
                </c:pt>
                <c:pt idx="5">
                  <c:v>7727231</c:v>
                </c:pt>
                <c:pt idx="6">
                  <c:v>3993352</c:v>
                </c:pt>
                <c:pt idx="7">
                  <c:v>1948173</c:v>
                </c:pt>
              </c:numCache>
            </c:numRef>
          </c:val>
          <c:extLst>
            <c:ext xmlns:c16="http://schemas.microsoft.com/office/drawing/2014/chart" uri="{C3380CC4-5D6E-409C-BE32-E72D297353CC}">
              <c16:uniqueId val="{00000008-D04B-42EB-94A8-987023AC7B24}"/>
            </c:ext>
          </c:extLst>
        </c:ser>
        <c:dLbls>
          <c:showLegendKey val="0"/>
          <c:showVal val="1"/>
          <c:showCatName val="0"/>
          <c:showSerName val="0"/>
          <c:showPercent val="0"/>
          <c:showBubbleSize val="0"/>
          <c:showLeaderLines val="0"/>
        </c:dLbls>
        <c:firstSliceAng val="0"/>
        <c:holeSize val="50"/>
      </c:doughnutChart>
      <c:spPr>
        <a:noFill/>
        <a:ln>
          <a:noFill/>
        </a:ln>
      </c:spPr>
    </c:plotArea>
    <c:plotVisOnly val="1"/>
    <c:dispBlanksAs val="zero"/>
    <c:showDLblsOverMax val="0"/>
  </c:chart>
  <c:spPr>
    <a:noFill/>
    <a:ln>
      <a:noFill/>
    </a:ln>
  </c:spPr>
  <c:printSettings>
    <c:headerFooter alignWithMargins="0"/>
    <c:pageMargins b="1" l="0.75" r="0.75" t="1" header="0.51200000000000001" footer="0.51200000000000001"/>
    <c:pageSetup paperSize="9"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11207314286083894"/>
          <c:y val="0.19042991689116442"/>
          <c:w val="0.83314307458143078"/>
          <c:h val="0.63066169848289555"/>
        </c:manualLayout>
      </c:layout>
      <c:doughnutChart>
        <c:varyColors val="1"/>
        <c:ser>
          <c:idx val="2"/>
          <c:order val="0"/>
          <c:explosion val="1"/>
          <c:dPt>
            <c:idx val="0"/>
            <c:bubble3D val="0"/>
            <c:spPr>
              <a:solidFill>
                <a:srgbClr val="00CCFF"/>
              </a:solidFill>
            </c:spPr>
            <c:extLst>
              <c:ext xmlns:c16="http://schemas.microsoft.com/office/drawing/2014/chart" uri="{C3380CC4-5D6E-409C-BE32-E72D297353CC}">
                <c16:uniqueId val="{00000001-4E9E-4222-BAC7-60646B64A203}"/>
              </c:ext>
            </c:extLst>
          </c:dPt>
          <c:dPt>
            <c:idx val="1"/>
            <c:bubble3D val="0"/>
            <c:spPr>
              <a:solidFill>
                <a:srgbClr val="FFFF00"/>
              </a:solidFill>
            </c:spPr>
            <c:extLst>
              <c:ext xmlns:c16="http://schemas.microsoft.com/office/drawing/2014/chart" uri="{C3380CC4-5D6E-409C-BE32-E72D297353CC}">
                <c16:uniqueId val="{00000003-4E9E-4222-BAC7-60646B64A203}"/>
              </c:ext>
            </c:extLst>
          </c:dPt>
          <c:dPt>
            <c:idx val="2"/>
            <c:bubble3D val="0"/>
            <c:spPr>
              <a:solidFill>
                <a:srgbClr val="FF0000"/>
              </a:solidFill>
            </c:spPr>
            <c:extLst>
              <c:ext xmlns:c16="http://schemas.microsoft.com/office/drawing/2014/chart" uri="{C3380CC4-5D6E-409C-BE32-E72D297353CC}">
                <c16:uniqueId val="{00000005-4E9E-4222-BAC7-60646B64A203}"/>
              </c:ext>
            </c:extLst>
          </c:dPt>
          <c:dPt>
            <c:idx val="3"/>
            <c:bubble3D val="0"/>
            <c:spPr>
              <a:solidFill>
                <a:srgbClr val="FF9900"/>
              </a:solidFill>
            </c:spPr>
            <c:extLst>
              <c:ext xmlns:c16="http://schemas.microsoft.com/office/drawing/2014/chart" uri="{C3380CC4-5D6E-409C-BE32-E72D297353CC}">
                <c16:uniqueId val="{00000007-4E9E-4222-BAC7-60646B64A203}"/>
              </c:ext>
            </c:extLst>
          </c:dPt>
          <c:dPt>
            <c:idx val="4"/>
            <c:bubble3D val="0"/>
            <c:spPr>
              <a:solidFill>
                <a:srgbClr val="00CC00"/>
              </a:solidFill>
            </c:spPr>
            <c:extLst>
              <c:ext xmlns:c16="http://schemas.microsoft.com/office/drawing/2014/chart" uri="{C3380CC4-5D6E-409C-BE32-E72D297353CC}">
                <c16:uniqueId val="{00000009-4E9E-4222-BAC7-60646B64A203}"/>
              </c:ext>
            </c:extLst>
          </c:dPt>
          <c:dPt>
            <c:idx val="5"/>
            <c:bubble3D val="0"/>
            <c:spPr>
              <a:solidFill>
                <a:srgbClr val="00B0F0"/>
              </a:solidFill>
            </c:spPr>
            <c:extLst>
              <c:ext xmlns:c16="http://schemas.microsoft.com/office/drawing/2014/chart" uri="{C3380CC4-5D6E-409C-BE32-E72D297353CC}">
                <c16:uniqueId val="{0000000B-4E9E-4222-BAC7-60646B64A203}"/>
              </c:ext>
            </c:extLst>
          </c:dPt>
          <c:dPt>
            <c:idx val="6"/>
            <c:bubble3D val="0"/>
            <c:spPr>
              <a:solidFill>
                <a:srgbClr val="66FF66"/>
              </a:solidFill>
            </c:spPr>
            <c:extLst>
              <c:ext xmlns:c16="http://schemas.microsoft.com/office/drawing/2014/chart" uri="{C3380CC4-5D6E-409C-BE32-E72D297353CC}">
                <c16:uniqueId val="{0000000D-4E9E-4222-BAC7-60646B64A203}"/>
              </c:ext>
            </c:extLst>
          </c:dPt>
          <c:dPt>
            <c:idx val="7"/>
            <c:bubble3D val="0"/>
            <c:spPr>
              <a:solidFill>
                <a:srgbClr val="002060"/>
              </a:solidFill>
            </c:spPr>
            <c:extLst>
              <c:ext xmlns:c16="http://schemas.microsoft.com/office/drawing/2014/chart" uri="{C3380CC4-5D6E-409C-BE32-E72D297353CC}">
                <c16:uniqueId val="{0000000F-4E9E-4222-BAC7-60646B64A203}"/>
              </c:ext>
            </c:extLst>
          </c:dPt>
          <c:dPt>
            <c:idx val="8"/>
            <c:bubble3D val="0"/>
            <c:spPr>
              <a:solidFill>
                <a:srgbClr val="FFCC00"/>
              </a:solidFill>
            </c:spPr>
            <c:extLst>
              <c:ext xmlns:c16="http://schemas.microsoft.com/office/drawing/2014/chart" uri="{C3380CC4-5D6E-409C-BE32-E72D297353CC}">
                <c16:uniqueId val="{00000011-4E9E-4222-BAC7-60646B64A203}"/>
              </c:ext>
            </c:extLst>
          </c:dPt>
          <c:dLbls>
            <c:dLbl>
              <c:idx val="0"/>
              <c:layout>
                <c:manualLayout>
                  <c:x val="-1.7355352704805704E-2"/>
                  <c:y val="0.32162098016632007"/>
                </c:manualLayout>
              </c:layout>
              <c:tx>
                <c:rich>
                  <a:bodyPr/>
                  <a:lstStyle/>
                  <a:p>
                    <a:r>
                      <a:rPr lang="ja-JP" altLang="en-US" sz="1600"/>
                      <a:t>人件費</a:t>
                    </a:r>
                  </a:p>
                  <a:p>
                    <a:r>
                      <a:rPr lang="en-US" altLang="ja-JP" sz="1600"/>
                      <a:t>22,924,080</a:t>
                    </a:r>
                  </a:p>
                  <a:p>
                    <a:r>
                      <a:rPr lang="en-US" altLang="ja-JP" sz="1600"/>
                      <a:t>19.8%</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9E-4222-BAC7-60646B64A203}"/>
                </c:ext>
              </c:extLst>
            </c:dLbl>
            <c:dLbl>
              <c:idx val="1"/>
              <c:layout>
                <c:manualLayout>
                  <c:x val="-0.58369574573610361"/>
                  <c:y val="-9.8860573077087399E-2"/>
                </c:manualLayout>
              </c:layout>
              <c:tx>
                <c:rich>
                  <a:bodyPr/>
                  <a:lstStyle/>
                  <a:p>
                    <a:r>
                      <a:rPr lang="ja-JP" altLang="en-US" sz="1400" b="0" i="0" baseline="0">
                        <a:effectLst/>
                      </a:rPr>
                      <a:t>普通建設事業費</a:t>
                    </a:r>
                    <a:endParaRPr lang="ja-JP" altLang="en-US" sz="1400">
                      <a:effectLst/>
                    </a:endParaRPr>
                  </a:p>
                  <a:p>
                    <a:r>
                      <a:rPr lang="en-US" altLang="ja-JP" sz="1600" b="0" i="0" baseline="0">
                        <a:effectLst/>
                      </a:rPr>
                      <a:t>12,913,750</a:t>
                    </a:r>
                    <a:endParaRPr lang="ja-JP" altLang="en-US" sz="1600">
                      <a:effectLst/>
                    </a:endParaRPr>
                  </a:p>
                  <a:p>
                    <a:r>
                      <a:rPr lang="en-US" altLang="ja-JP" sz="1600" b="0" i="0" baseline="0">
                        <a:effectLst/>
                      </a:rPr>
                      <a:t>11.2%</a:t>
                    </a:r>
                    <a:endParaRPr lang="ja-JP" altLang="en-US" sz="1200">
                      <a:effectLst/>
                    </a:endParaRPr>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9E-4222-BAC7-60646B64A203}"/>
                </c:ext>
              </c:extLst>
            </c:dLbl>
            <c:dLbl>
              <c:idx val="2"/>
              <c:layout>
                <c:manualLayout>
                  <c:x val="0.34830940250115783"/>
                  <c:y val="-0.36615979448128982"/>
                </c:manualLayout>
              </c:layout>
              <c:tx>
                <c:rich>
                  <a:bodyPr/>
                  <a:lstStyle/>
                  <a:p>
                    <a:r>
                      <a:rPr lang="ja-JP" altLang="en-US" sz="1600"/>
                      <a:t>扶助費</a:t>
                    </a:r>
                  </a:p>
                  <a:p>
                    <a:r>
                      <a:rPr lang="en-US" altLang="ja-JP" sz="1600" b="0" i="0" u="none" strike="noStrike" baseline="0"/>
                      <a:t>32,291,580</a:t>
                    </a:r>
                  </a:p>
                  <a:p>
                    <a:r>
                      <a:rPr lang="en-US" altLang="ja-JP" sz="1600" b="0" i="0" u="none" strike="noStrike" baseline="0">
                        <a:effectLst/>
                      </a:rPr>
                      <a:t>27.9%</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9E-4222-BAC7-60646B64A203}"/>
                </c:ext>
              </c:extLst>
            </c:dLbl>
            <c:dLbl>
              <c:idx val="3"/>
              <c:layout>
                <c:manualLayout>
                  <c:x val="0.17327575724039174"/>
                  <c:y val="0.13970419045596988"/>
                </c:manualLayout>
              </c:layout>
              <c:tx>
                <c:rich>
                  <a:bodyPr/>
                  <a:lstStyle/>
                  <a:p>
                    <a:r>
                      <a:rPr lang="ja-JP" altLang="en-US" sz="1600"/>
                      <a:t>物件費</a:t>
                    </a:r>
                  </a:p>
                  <a:p>
                    <a:r>
                      <a:rPr lang="en-US" altLang="ja-JP" sz="1600"/>
                      <a:t>19,085,382</a:t>
                    </a:r>
                  </a:p>
                  <a:p>
                    <a:r>
                      <a:rPr lang="en-US" altLang="ja-JP" sz="1600" b="0" i="0" u="none" strike="noStrike" baseline="0">
                        <a:effectLst/>
                      </a:rPr>
                      <a:t>16.5%</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9E-4222-BAC7-60646B64A203}"/>
                </c:ext>
              </c:extLst>
            </c:dLbl>
            <c:dLbl>
              <c:idx val="4"/>
              <c:layout>
                <c:manualLayout>
                  <c:x val="-4.8215537347264179E-3"/>
                  <c:y val="-2.5154256690330594E-3"/>
                </c:manualLayout>
              </c:layout>
              <c:tx>
                <c:rich>
                  <a:bodyPr/>
                  <a:lstStyle/>
                  <a:p>
                    <a:r>
                      <a:rPr lang="ja-JP" altLang="en-US" sz="1600"/>
                      <a:t>補助費等</a:t>
                    </a:r>
                  </a:p>
                  <a:p>
                    <a:r>
                      <a:rPr lang="en-US" altLang="ja-JP" sz="1600" b="0" i="0" u="none" strike="noStrike" baseline="0">
                        <a:effectLst/>
                      </a:rPr>
                      <a:t>11,699,927</a:t>
                    </a:r>
                  </a:p>
                  <a:p>
                    <a:r>
                      <a:rPr lang="en-US" altLang="ja-JP" sz="1600" b="0" i="0" u="none" strike="noStrike" baseline="0">
                        <a:effectLst/>
                      </a:rPr>
                      <a:t>10.1%</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9E-4222-BAC7-60646B64A203}"/>
                </c:ext>
              </c:extLst>
            </c:dLbl>
            <c:dLbl>
              <c:idx val="5"/>
              <c:layout>
                <c:manualLayout>
                  <c:x val="0.10780665691124892"/>
                  <c:y val="-6.7782650782061638E-2"/>
                </c:manualLayout>
              </c:layout>
              <c:tx>
                <c:rich>
                  <a:bodyPr/>
                  <a:lstStyle/>
                  <a:p>
                    <a:r>
                      <a:rPr lang="ja-JP" altLang="en-US" sz="1600" b="0" i="0" baseline="0">
                        <a:effectLst/>
                      </a:rPr>
                      <a:t>公債費</a:t>
                    </a:r>
                  </a:p>
                  <a:p>
                    <a:r>
                      <a:rPr lang="en-US" altLang="ja-JP" sz="1600">
                        <a:effectLst/>
                      </a:rPr>
                      <a:t>7,727,231</a:t>
                    </a:r>
                  </a:p>
                  <a:p>
                    <a:r>
                      <a:rPr lang="en-US" altLang="ja-JP" sz="1600" b="0" i="0" baseline="0">
                        <a:effectLst/>
                      </a:rPr>
                      <a:t>6.7%</a:t>
                    </a:r>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9E-4222-BAC7-60646B64A203}"/>
                </c:ext>
              </c:extLst>
            </c:dLbl>
            <c:dLbl>
              <c:idx val="6"/>
              <c:layout>
                <c:manualLayout>
                  <c:x val="-0.13396880179149911"/>
                  <c:y val="3.3373897731080508E-2"/>
                </c:manualLayout>
              </c:layout>
              <c:tx>
                <c:rich>
                  <a:bodyPr/>
                  <a:lstStyle/>
                  <a:p>
                    <a:r>
                      <a:rPr lang="ja-JP" altLang="en-US" sz="1600" b="0" i="0" baseline="0">
                        <a:effectLst/>
                      </a:rPr>
                      <a:t>繰出金</a:t>
                    </a:r>
                    <a:endParaRPr lang="ja-JP" altLang="en-US" sz="1600">
                      <a:effectLst/>
                    </a:endParaRPr>
                  </a:p>
                  <a:p>
                    <a:r>
                      <a:rPr lang="en-US" altLang="ja-JP" sz="1600">
                        <a:effectLst/>
                      </a:rPr>
                      <a:t>8,230,600</a:t>
                    </a:r>
                  </a:p>
                  <a:p>
                    <a:r>
                      <a:rPr lang="en-US" altLang="ja-JP" sz="1600" b="0" i="0" baseline="0">
                        <a:effectLst/>
                      </a:rPr>
                      <a:t>7.1%</a:t>
                    </a:r>
                    <a:endParaRPr lang="ja-JP" altLang="en-US" sz="1200">
                      <a:effectLst/>
                    </a:endParaRPr>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9E-4222-BAC7-60646B64A203}"/>
                </c:ext>
              </c:extLst>
            </c:dLbl>
            <c:dLbl>
              <c:idx val="7"/>
              <c:layout>
                <c:manualLayout>
                  <c:x val="-0.12272105693800175"/>
                  <c:y val="-0.20658053793079761"/>
                </c:manualLayout>
              </c:layout>
              <c:tx>
                <c:rich>
                  <a:bodyPr/>
                  <a:lstStyle/>
                  <a:p>
                    <a:r>
                      <a:rPr lang="ja-JP" altLang="en-US" sz="1600"/>
                      <a:t>維持補修費</a:t>
                    </a:r>
                  </a:p>
                  <a:p>
                    <a:r>
                      <a:rPr lang="en-US" altLang="ja-JP" sz="1600"/>
                      <a:t>523,980</a:t>
                    </a:r>
                  </a:p>
                  <a:p>
                    <a:r>
                      <a:rPr lang="en-US" altLang="ja-JP" sz="1600"/>
                      <a:t>0.4</a:t>
                    </a:r>
                    <a:r>
                      <a:rPr lang="en-US" altLang="ja-JP" sz="1600" b="0" i="0" u="none" strike="noStrike" baseline="0">
                        <a:effectLst/>
                      </a:rPr>
                      <a:t>%</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9E-4222-BAC7-60646B64A203}"/>
                </c:ext>
              </c:extLst>
            </c:dLbl>
            <c:dLbl>
              <c:idx val="8"/>
              <c:layout>
                <c:manualLayout>
                  <c:x val="1.7113633448071666E-3"/>
                  <c:y val="-0.17238992411394721"/>
                </c:manualLayout>
              </c:layout>
              <c:tx>
                <c:rich>
                  <a:bodyPr/>
                  <a:lstStyle/>
                  <a:p>
                    <a:r>
                      <a:rPr lang="ja-JP" altLang="en-US" sz="1600"/>
                      <a:t>その他</a:t>
                    </a:r>
                  </a:p>
                  <a:p>
                    <a:r>
                      <a:rPr lang="en-US" altLang="ja-JP" sz="1600"/>
                      <a:t>303,470</a:t>
                    </a:r>
                  </a:p>
                  <a:p>
                    <a:r>
                      <a:rPr lang="en-US" altLang="ja-JP" sz="1600"/>
                      <a:t>0.3%</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9E-4222-BAC7-60646B64A203}"/>
                </c:ext>
              </c:extLst>
            </c:dLbl>
            <c:spPr>
              <a:noFill/>
              <a:ln>
                <a:noFill/>
              </a:ln>
              <a:effectLst/>
            </c:spPr>
            <c:txPr>
              <a:bodyPr/>
              <a:lstStyle/>
              <a:p>
                <a:pPr>
                  <a:defRPr sz="1600"/>
                </a:pPr>
                <a:endParaRPr lang="ja-JP"/>
              </a:p>
            </c:txPr>
            <c:showLegendKey val="0"/>
            <c:showVal val="1"/>
            <c:showCatName val="1"/>
            <c:showSerName val="0"/>
            <c:showPercent val="0"/>
            <c:showBubbleSize val="0"/>
            <c:showLeaderLines val="0"/>
            <c:extLst>
              <c:ext xmlns:c15="http://schemas.microsoft.com/office/drawing/2012/chart" uri="{CE6537A1-D6FC-4f65-9D91-7224C49458BB}"/>
            </c:extLst>
          </c:dLbls>
          <c:cat>
            <c:strRef>
              <c:f>(グラフデータ!$A$82:$A$85,グラフデータ!$A$89:$A$93)</c:f>
              <c:strCache>
                <c:ptCount val="9"/>
                <c:pt idx="0">
                  <c:v>扶助費</c:v>
                </c:pt>
                <c:pt idx="1">
                  <c:v>人件費</c:v>
                </c:pt>
                <c:pt idx="2">
                  <c:v>物件費</c:v>
                </c:pt>
                <c:pt idx="3">
                  <c:v>普通建設事業費</c:v>
                </c:pt>
                <c:pt idx="4">
                  <c:v>補助費等</c:v>
                </c:pt>
                <c:pt idx="5">
                  <c:v>繰出金</c:v>
                </c:pt>
                <c:pt idx="6">
                  <c:v>公債費</c:v>
                </c:pt>
                <c:pt idx="7">
                  <c:v>維持補修費</c:v>
                </c:pt>
                <c:pt idx="8">
                  <c:v>その他</c:v>
                </c:pt>
              </c:strCache>
            </c:strRef>
          </c:cat>
          <c:val>
            <c:numRef>
              <c:f>(グラフデータ!$D$82:$D$85,グラフデータ!$D$89:$D$93)</c:f>
              <c:numCache>
                <c:formatCode>#,##0;"△ "#,##0</c:formatCode>
                <c:ptCount val="9"/>
                <c:pt idx="0">
                  <c:v>32291580</c:v>
                </c:pt>
                <c:pt idx="1">
                  <c:v>22924080</c:v>
                </c:pt>
                <c:pt idx="2">
                  <c:v>19085382</c:v>
                </c:pt>
                <c:pt idx="3">
                  <c:v>12913750</c:v>
                </c:pt>
                <c:pt idx="4">
                  <c:v>11699927</c:v>
                </c:pt>
                <c:pt idx="5">
                  <c:v>8230600</c:v>
                </c:pt>
                <c:pt idx="6">
                  <c:v>7727231</c:v>
                </c:pt>
                <c:pt idx="7">
                  <c:v>523980</c:v>
                </c:pt>
                <c:pt idx="8">
                  <c:v>303470</c:v>
                </c:pt>
              </c:numCache>
            </c:numRef>
          </c:val>
          <c:extLst>
            <c:ext xmlns:c16="http://schemas.microsoft.com/office/drawing/2014/chart" uri="{C3380CC4-5D6E-409C-BE32-E72D297353CC}">
              <c16:uniqueId val="{00000009-87EE-4DB2-98CB-7DA6B3E27AFC}"/>
            </c:ext>
          </c:extLst>
        </c:ser>
        <c:dLbls>
          <c:showLegendKey val="0"/>
          <c:showVal val="0"/>
          <c:showCatName val="0"/>
          <c:showSerName val="0"/>
          <c:showPercent val="0"/>
          <c:showBubbleSize val="0"/>
          <c:showLeaderLines val="0"/>
        </c:dLbls>
        <c:firstSliceAng val="0"/>
        <c:holeSize val="50"/>
      </c:doughnutChart>
      <c:spPr>
        <a:noFill/>
        <a:ln>
          <a:noFill/>
        </a:ln>
      </c:spPr>
    </c:plotArea>
    <c:plotVisOnly val="1"/>
    <c:dispBlanksAs val="zero"/>
    <c:showDLblsOverMax val="0"/>
  </c:chart>
  <c:spPr>
    <a:noFill/>
    <a:ln>
      <a:noFill/>
    </a:ln>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alignWithMargins="0"/>
    <c:pageMargins b="1" l="0.75" r="0.75" t="1" header="0.51200000000000001" footer="0.51200000000000001"/>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8.0870416135982448E-2"/>
          <c:y val="0.19004136047434267"/>
          <c:w val="0.83458506099523455"/>
          <c:h val="0.61991727905131455"/>
        </c:manualLayout>
      </c:layout>
      <c:doughnutChart>
        <c:varyColors val="1"/>
        <c:ser>
          <c:idx val="1"/>
          <c:order val="0"/>
          <c:dPt>
            <c:idx val="0"/>
            <c:bubble3D val="0"/>
            <c:spPr>
              <a:solidFill>
                <a:srgbClr val="00CCFF"/>
              </a:solidFill>
            </c:spPr>
            <c:extLst>
              <c:ext xmlns:c16="http://schemas.microsoft.com/office/drawing/2014/chart" uri="{C3380CC4-5D6E-409C-BE32-E72D297353CC}">
                <c16:uniqueId val="{00000001-CD1A-4730-8CB4-3694C138678D}"/>
              </c:ext>
            </c:extLst>
          </c:dPt>
          <c:dPt>
            <c:idx val="1"/>
            <c:bubble3D val="0"/>
            <c:spPr>
              <a:solidFill>
                <a:srgbClr val="FFFF00"/>
              </a:solidFill>
            </c:spPr>
            <c:extLst>
              <c:ext xmlns:c16="http://schemas.microsoft.com/office/drawing/2014/chart" uri="{C3380CC4-5D6E-409C-BE32-E72D297353CC}">
                <c16:uniqueId val="{00000003-CD1A-4730-8CB4-3694C138678D}"/>
              </c:ext>
            </c:extLst>
          </c:dPt>
          <c:dPt>
            <c:idx val="2"/>
            <c:bubble3D val="0"/>
            <c:spPr>
              <a:solidFill>
                <a:srgbClr val="C00000"/>
              </a:solidFill>
            </c:spPr>
            <c:extLst>
              <c:ext xmlns:c16="http://schemas.microsoft.com/office/drawing/2014/chart" uri="{C3380CC4-5D6E-409C-BE32-E72D297353CC}">
                <c16:uniqueId val="{00000005-CD1A-4730-8CB4-3694C138678D}"/>
              </c:ext>
            </c:extLst>
          </c:dPt>
          <c:dPt>
            <c:idx val="3"/>
            <c:bubble3D val="0"/>
            <c:spPr>
              <a:solidFill>
                <a:srgbClr val="FF9900"/>
              </a:solidFill>
            </c:spPr>
            <c:extLst>
              <c:ext xmlns:c16="http://schemas.microsoft.com/office/drawing/2014/chart" uri="{C3380CC4-5D6E-409C-BE32-E72D297353CC}">
                <c16:uniqueId val="{00000007-CD1A-4730-8CB4-3694C138678D}"/>
              </c:ext>
            </c:extLst>
          </c:dPt>
          <c:dPt>
            <c:idx val="4"/>
            <c:bubble3D val="0"/>
            <c:spPr>
              <a:solidFill>
                <a:srgbClr val="FF0000"/>
              </a:solidFill>
            </c:spPr>
            <c:extLst>
              <c:ext xmlns:c16="http://schemas.microsoft.com/office/drawing/2014/chart" uri="{C3380CC4-5D6E-409C-BE32-E72D297353CC}">
                <c16:uniqueId val="{00000009-CD1A-4730-8CB4-3694C138678D}"/>
              </c:ext>
            </c:extLst>
          </c:dPt>
          <c:dPt>
            <c:idx val="5"/>
            <c:bubble3D val="0"/>
            <c:spPr>
              <a:solidFill>
                <a:srgbClr val="00CC00"/>
              </a:solidFill>
            </c:spPr>
            <c:extLst>
              <c:ext xmlns:c16="http://schemas.microsoft.com/office/drawing/2014/chart" uri="{C3380CC4-5D6E-409C-BE32-E72D297353CC}">
                <c16:uniqueId val="{0000000B-CD1A-4730-8CB4-3694C138678D}"/>
              </c:ext>
            </c:extLst>
          </c:dPt>
          <c:dPt>
            <c:idx val="6"/>
            <c:bubble3D val="0"/>
            <c:spPr>
              <a:solidFill>
                <a:srgbClr val="00B0F0"/>
              </a:solidFill>
            </c:spPr>
            <c:extLst>
              <c:ext xmlns:c16="http://schemas.microsoft.com/office/drawing/2014/chart" uri="{C3380CC4-5D6E-409C-BE32-E72D297353CC}">
                <c16:uniqueId val="{0000000D-CD1A-4730-8CB4-3694C138678D}"/>
              </c:ext>
            </c:extLst>
          </c:dPt>
          <c:dPt>
            <c:idx val="7"/>
            <c:bubble3D val="0"/>
            <c:spPr>
              <a:solidFill>
                <a:srgbClr val="00FF00"/>
              </a:solidFill>
            </c:spPr>
            <c:extLst>
              <c:ext xmlns:c16="http://schemas.microsoft.com/office/drawing/2014/chart" uri="{C3380CC4-5D6E-409C-BE32-E72D297353CC}">
                <c16:uniqueId val="{0000000F-CD1A-4730-8CB4-3694C138678D}"/>
              </c:ext>
            </c:extLst>
          </c:dPt>
          <c:dPt>
            <c:idx val="8"/>
            <c:bubble3D val="0"/>
            <c:spPr>
              <a:solidFill>
                <a:srgbClr val="558ED5"/>
              </a:solidFill>
            </c:spPr>
            <c:extLst>
              <c:ext xmlns:c16="http://schemas.microsoft.com/office/drawing/2014/chart" uri="{C3380CC4-5D6E-409C-BE32-E72D297353CC}">
                <c16:uniqueId val="{00000011-CD1A-4730-8CB4-3694C138678D}"/>
              </c:ext>
            </c:extLst>
          </c:dPt>
          <c:dPt>
            <c:idx val="9"/>
            <c:bubble3D val="0"/>
            <c:spPr>
              <a:solidFill>
                <a:srgbClr val="FF3300"/>
              </a:solidFill>
            </c:spPr>
            <c:extLst>
              <c:ext xmlns:c16="http://schemas.microsoft.com/office/drawing/2014/chart" uri="{C3380CC4-5D6E-409C-BE32-E72D297353CC}">
                <c16:uniqueId val="{00000013-CD1A-4730-8CB4-3694C138678D}"/>
              </c:ext>
            </c:extLst>
          </c:dPt>
          <c:dPt>
            <c:idx val="10"/>
            <c:bubble3D val="0"/>
            <c:spPr>
              <a:solidFill>
                <a:srgbClr val="FFFF66"/>
              </a:solidFill>
            </c:spPr>
            <c:extLst>
              <c:ext xmlns:c16="http://schemas.microsoft.com/office/drawing/2014/chart" uri="{C3380CC4-5D6E-409C-BE32-E72D297353CC}">
                <c16:uniqueId val="{00000015-CD1A-4730-8CB4-3694C138678D}"/>
              </c:ext>
            </c:extLst>
          </c:dPt>
          <c:dPt>
            <c:idx val="11"/>
            <c:bubble3D val="0"/>
            <c:spPr>
              <a:solidFill>
                <a:srgbClr val="0070C0"/>
              </a:solidFill>
            </c:spPr>
            <c:extLst>
              <c:ext xmlns:c16="http://schemas.microsoft.com/office/drawing/2014/chart" uri="{C3380CC4-5D6E-409C-BE32-E72D297353CC}">
                <c16:uniqueId val="{00000017-CD1A-4730-8CB4-3694C138678D}"/>
              </c:ext>
            </c:extLst>
          </c:dPt>
          <c:dPt>
            <c:idx val="12"/>
            <c:bubble3D val="0"/>
            <c:spPr>
              <a:solidFill>
                <a:srgbClr val="92D050"/>
              </a:solidFill>
            </c:spPr>
            <c:extLst>
              <c:ext xmlns:c16="http://schemas.microsoft.com/office/drawing/2014/chart" uri="{C3380CC4-5D6E-409C-BE32-E72D297353CC}">
                <c16:uniqueId val="{00000019-CD1A-4730-8CB4-3694C138678D}"/>
              </c:ext>
            </c:extLst>
          </c:dPt>
          <c:dLbls>
            <c:dLbl>
              <c:idx val="0"/>
              <c:layout>
                <c:manualLayout>
                  <c:x val="-6.7380108834792334E-3"/>
                  <c:y val="5.6957100539747112E-2"/>
                </c:manualLayout>
              </c:layout>
              <c:tx>
                <c:rich>
                  <a:bodyPr/>
                  <a:lstStyle/>
                  <a:p>
                    <a:r>
                      <a:rPr lang="ja-JP" altLang="en-US" sz="1600">
                        <a:latin typeface="BIZ UDゴシック" panose="020B0400000000000000" pitchFamily="49" charset="-128"/>
                        <a:ea typeface="BIZ UDゴシック" panose="020B0400000000000000" pitchFamily="49" charset="-128"/>
                      </a:rPr>
                      <a:t>市税</a:t>
                    </a:r>
                  </a:p>
                  <a:p>
                    <a:r>
                      <a:rPr lang="en-US" altLang="ja-JP" sz="1600">
                        <a:latin typeface="BIZ UDゴシック" panose="020B0400000000000000" pitchFamily="49" charset="-128"/>
                        <a:ea typeface="BIZ UDゴシック" panose="020B0400000000000000" pitchFamily="49" charset="-128"/>
                      </a:rPr>
                      <a:t>47,149,000</a:t>
                    </a:r>
                  </a:p>
                  <a:p>
                    <a:r>
                      <a:rPr lang="en-US" altLang="ja-JP" sz="1600">
                        <a:latin typeface="BIZ UDゴシック" panose="020B0400000000000000" pitchFamily="49" charset="-128"/>
                        <a:ea typeface="BIZ UDゴシック" panose="020B0400000000000000" pitchFamily="49" charset="-128"/>
                      </a:rPr>
                      <a:t>40.8%</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1A-4730-8CB4-3694C138678D}"/>
                </c:ext>
              </c:extLst>
            </c:dLbl>
            <c:dLbl>
              <c:idx val="1"/>
              <c:layout>
                <c:manualLayout>
                  <c:x val="0.25275845601348995"/>
                  <c:y val="0.11094245174187814"/>
                </c:manualLayout>
              </c:layout>
              <c:tx>
                <c:rich>
                  <a:bodyPr/>
                  <a:lstStyle/>
                  <a:p>
                    <a:r>
                      <a:rPr lang="ja-JP" altLang="en-US" sz="1600">
                        <a:latin typeface="BIZ UDゴシック" panose="020B0400000000000000" pitchFamily="49" charset="-128"/>
                        <a:ea typeface="BIZ UDゴシック" panose="020B0400000000000000" pitchFamily="49" charset="-128"/>
                      </a:rPr>
                      <a:t>繰入金</a:t>
                    </a:r>
                  </a:p>
                  <a:p>
                    <a:r>
                      <a:rPr lang="en-US" altLang="ja-JP" sz="1600">
                        <a:latin typeface="BIZ UDゴシック" panose="020B0400000000000000" pitchFamily="49" charset="-128"/>
                        <a:ea typeface="BIZ UDゴシック" panose="020B0400000000000000" pitchFamily="49" charset="-128"/>
                      </a:rPr>
                      <a:t>7,138,910</a:t>
                    </a:r>
                  </a:p>
                  <a:p>
                    <a:r>
                      <a:rPr lang="en-US" altLang="ja-JP" sz="1600" b="0" i="0" u="none" strike="noStrike" baseline="0">
                        <a:effectLst/>
                        <a:latin typeface="BIZ UDゴシック" panose="020B0400000000000000" pitchFamily="49" charset="-128"/>
                        <a:ea typeface="BIZ UDゴシック" panose="020B0400000000000000" pitchFamily="49" charset="-128"/>
                      </a:rPr>
                      <a:t>6.2%</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1A-4730-8CB4-3694C138678D}"/>
                </c:ext>
              </c:extLst>
            </c:dLbl>
            <c:dLbl>
              <c:idx val="2"/>
              <c:layout>
                <c:manualLayout>
                  <c:x val="0.19110133946958544"/>
                  <c:y val="0.16831490480150632"/>
                </c:manualLayout>
              </c:layout>
              <c:tx>
                <c:rich>
                  <a:bodyPr/>
                  <a:lstStyle/>
                  <a:p>
                    <a:r>
                      <a:rPr lang="ja-JP" altLang="en-US" sz="1600">
                        <a:latin typeface="BIZ UDゴシック" panose="020B0400000000000000" pitchFamily="49" charset="-128"/>
                        <a:ea typeface="BIZ UDゴシック" panose="020B0400000000000000" pitchFamily="49" charset="-128"/>
                      </a:rPr>
                      <a:t>諸収入</a:t>
                    </a:r>
                  </a:p>
                  <a:p>
                    <a:r>
                      <a:rPr lang="en-US" altLang="ja-JP" sz="1600">
                        <a:latin typeface="BIZ UDゴシック" panose="020B0400000000000000" pitchFamily="49" charset="-128"/>
                        <a:ea typeface="BIZ UDゴシック" panose="020B0400000000000000" pitchFamily="49" charset="-128"/>
                      </a:rPr>
                      <a:t>3,016,865</a:t>
                    </a:r>
                  </a:p>
                  <a:p>
                    <a:r>
                      <a:rPr lang="en-US" altLang="ja-JP" sz="1600" b="0" i="0" u="none" strike="noStrike" baseline="0">
                        <a:effectLst/>
                        <a:latin typeface="BIZ UDゴシック" panose="020B0400000000000000" pitchFamily="49" charset="-128"/>
                        <a:ea typeface="BIZ UDゴシック" panose="020B0400000000000000" pitchFamily="49" charset="-128"/>
                      </a:rPr>
                      <a:t>2.6%</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1A-4730-8CB4-3694C138678D}"/>
                </c:ext>
              </c:extLst>
            </c:dLbl>
            <c:dLbl>
              <c:idx val="3"/>
              <c:layout>
                <c:manualLayout>
                  <c:x val="4.6583731793402042E-2"/>
                  <c:y val="0.19635145123768666"/>
                </c:manualLayout>
              </c:layout>
              <c:tx>
                <c:rich>
                  <a:bodyPr/>
                  <a:lstStyle/>
                  <a:p>
                    <a:r>
                      <a:rPr lang="ja-JP" altLang="en-US" sz="1400">
                        <a:latin typeface="BIZ UDゴシック" panose="020B0400000000000000" pitchFamily="49" charset="-128"/>
                        <a:ea typeface="BIZ UDゴシック" panose="020B0400000000000000" pitchFamily="49" charset="-128"/>
                      </a:rPr>
                      <a:t>使用料及び手数料</a:t>
                    </a:r>
                  </a:p>
                  <a:p>
                    <a:r>
                      <a:rPr lang="en-US" altLang="ja-JP" sz="1600" b="0" i="0" u="none" strike="noStrike" baseline="0">
                        <a:effectLst/>
                        <a:latin typeface="BIZ UDゴシック" panose="020B0400000000000000" pitchFamily="49" charset="-128"/>
                        <a:ea typeface="BIZ UDゴシック" panose="020B0400000000000000" pitchFamily="49" charset="-128"/>
                      </a:rPr>
                      <a:t>1,531,925</a:t>
                    </a:r>
                  </a:p>
                  <a:p>
                    <a:r>
                      <a:rPr lang="en-US" altLang="ja-JP" sz="1600" b="0" i="0" u="none" strike="noStrike" baseline="0">
                        <a:effectLst/>
                        <a:latin typeface="BIZ UDゴシック" panose="020B0400000000000000" pitchFamily="49" charset="-128"/>
                        <a:ea typeface="BIZ UDゴシック" panose="020B0400000000000000" pitchFamily="49" charset="-128"/>
                      </a:rPr>
                      <a:t>1.3%</a:t>
                    </a:r>
                    <a:endParaRPr lang="ja-JP" altLang="en-US"/>
                  </a:p>
                </c:rich>
              </c:tx>
              <c:showLegendKey val="0"/>
              <c:showVal val="1"/>
              <c:showCatName val="1"/>
              <c:showSerName val="0"/>
              <c:showPercent val="0"/>
              <c:showBubbleSize val="0"/>
              <c:extLst>
                <c:ext xmlns:c15="http://schemas.microsoft.com/office/drawing/2012/chart" uri="{CE6537A1-D6FC-4f65-9D91-7224C49458BB}">
                  <c15:layout>
                    <c:manualLayout>
                      <c:w val="0.22572336459655432"/>
                      <c:h val="0.11093073390836442"/>
                    </c:manualLayout>
                  </c15:layout>
                </c:ext>
                <c:ext xmlns:c16="http://schemas.microsoft.com/office/drawing/2014/chart" uri="{C3380CC4-5D6E-409C-BE32-E72D297353CC}">
                  <c16:uniqueId val="{00000007-CD1A-4730-8CB4-3694C138678D}"/>
                </c:ext>
              </c:extLst>
            </c:dLbl>
            <c:dLbl>
              <c:idx val="4"/>
              <c:layout>
                <c:manualLayout>
                  <c:x val="-0.18808548011290668"/>
                  <c:y val="0.13797502832531641"/>
                </c:manualLayout>
              </c:layout>
              <c:tx>
                <c:rich>
                  <a:bodyPr/>
                  <a:lstStyle/>
                  <a:p>
                    <a:r>
                      <a:rPr lang="ja-JP" altLang="en-US" sz="1600">
                        <a:latin typeface="BIZ UDゴシック" panose="020B0400000000000000" pitchFamily="49" charset="-128"/>
                        <a:ea typeface="BIZ UDゴシック" panose="020B0400000000000000" pitchFamily="49" charset="-128"/>
                      </a:rPr>
                      <a:t>その他自主財源</a:t>
                    </a:r>
                  </a:p>
                  <a:p>
                    <a:r>
                      <a:rPr lang="en-US" altLang="ja-JP" sz="1600" b="0" i="0" u="none" strike="noStrike" baseline="0">
                        <a:effectLst/>
                        <a:latin typeface="BIZ UDゴシック" panose="020B0400000000000000" pitchFamily="49" charset="-128"/>
                        <a:ea typeface="BIZ UDゴシック" panose="020B0400000000000000" pitchFamily="49" charset="-128"/>
                      </a:rPr>
                      <a:t>1,687,890</a:t>
                    </a:r>
                  </a:p>
                  <a:p>
                    <a:r>
                      <a:rPr lang="en-US" altLang="ja-JP" sz="1600" b="0" i="0" u="none" strike="noStrike" baseline="0">
                        <a:effectLst/>
                        <a:latin typeface="BIZ UDゴシック" panose="020B0400000000000000" pitchFamily="49" charset="-128"/>
                        <a:ea typeface="BIZ UDゴシック" panose="020B0400000000000000" pitchFamily="49" charset="-128"/>
                      </a:rPr>
                      <a:t>1.5%</a:t>
                    </a:r>
                    <a:endParaRPr lang="ja-JP" altLang="en-US"/>
                  </a:p>
                </c:rich>
              </c:tx>
              <c:showLegendKey val="0"/>
              <c:showVal val="1"/>
              <c:showCatName val="1"/>
              <c:showSerName val="0"/>
              <c:showPercent val="0"/>
              <c:showBubbleSize val="0"/>
              <c:extLst>
                <c:ext xmlns:c15="http://schemas.microsoft.com/office/drawing/2012/chart" uri="{CE6537A1-D6FC-4f65-9D91-7224C49458BB}">
                  <c15:layout>
                    <c:manualLayout>
                      <c:w val="0.22742629025464048"/>
                      <c:h val="0.11715923581193778"/>
                    </c:manualLayout>
                  </c15:layout>
                </c:ext>
                <c:ext xmlns:c16="http://schemas.microsoft.com/office/drawing/2014/chart" uri="{C3380CC4-5D6E-409C-BE32-E72D297353CC}">
                  <c16:uniqueId val="{00000009-CD1A-4730-8CB4-3694C138678D}"/>
                </c:ext>
              </c:extLst>
            </c:dLbl>
            <c:dLbl>
              <c:idx val="5"/>
              <c:layout>
                <c:manualLayout>
                  <c:x val="-1.5401794560857885E-3"/>
                  <c:y val="1.2472386625700829E-3"/>
                </c:manualLayout>
              </c:layout>
              <c:tx>
                <c:rich>
                  <a:bodyPr/>
                  <a:lstStyle/>
                  <a:p>
                    <a:r>
                      <a:rPr lang="ja-JP" altLang="en-US" sz="1600">
                        <a:latin typeface="BIZ UDゴシック" panose="020B0400000000000000" pitchFamily="49" charset="-128"/>
                        <a:ea typeface="BIZ UDゴシック" panose="020B0400000000000000" pitchFamily="49" charset="-128"/>
                      </a:rPr>
                      <a:t>国庫支出金</a:t>
                    </a:r>
                  </a:p>
                  <a:p>
                    <a:r>
                      <a:rPr lang="en-US" altLang="ja-JP" sz="1600">
                        <a:latin typeface="BIZ UDゴシック" panose="020B0400000000000000" pitchFamily="49" charset="-128"/>
                        <a:ea typeface="BIZ UDゴシック" panose="020B0400000000000000" pitchFamily="49" charset="-128"/>
                      </a:rPr>
                      <a:t>20,868,640</a:t>
                    </a:r>
                  </a:p>
                  <a:p>
                    <a:r>
                      <a:rPr lang="en-US" altLang="ja-JP" sz="1600" b="0" i="0" u="none" strike="noStrike" baseline="0">
                        <a:effectLst/>
                        <a:latin typeface="BIZ UDゴシック" panose="020B0400000000000000" pitchFamily="49" charset="-128"/>
                        <a:ea typeface="BIZ UDゴシック" panose="020B0400000000000000" pitchFamily="49" charset="-128"/>
                      </a:rPr>
                      <a:t>18.0%</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D1A-4730-8CB4-3694C138678D}"/>
                </c:ext>
              </c:extLst>
            </c:dLbl>
            <c:dLbl>
              <c:idx val="6"/>
              <c:layout>
                <c:manualLayout>
                  <c:x val="-5.3874234766251774E-3"/>
                  <c:y val="1.2677299878039836E-3"/>
                </c:manualLayout>
              </c:layout>
              <c:tx>
                <c:rich>
                  <a:bodyPr/>
                  <a:lstStyle/>
                  <a:p>
                    <a:r>
                      <a:rPr lang="ja-JP" altLang="en-US" sz="1600">
                        <a:latin typeface="BIZ UDゴシック" panose="020B0400000000000000" pitchFamily="49" charset="-128"/>
                        <a:ea typeface="BIZ UDゴシック" panose="020B0400000000000000" pitchFamily="49" charset="-128"/>
                      </a:rPr>
                      <a:t>市債</a:t>
                    </a:r>
                  </a:p>
                  <a:p>
                    <a:r>
                      <a:rPr lang="en-US" altLang="ja-JP" sz="1600">
                        <a:latin typeface="BIZ UDゴシック" panose="020B0400000000000000" pitchFamily="49" charset="-128"/>
                        <a:ea typeface="BIZ UDゴシック" panose="020B0400000000000000" pitchFamily="49" charset="-128"/>
                      </a:rPr>
                      <a:t>9,210,400</a:t>
                    </a:r>
                  </a:p>
                  <a:p>
                    <a:r>
                      <a:rPr lang="en-US" altLang="ja-JP" sz="1600" b="0" i="0" u="none" strike="noStrike" baseline="0">
                        <a:effectLst/>
                        <a:latin typeface="BIZ UDゴシック" panose="020B0400000000000000" pitchFamily="49" charset="-128"/>
                        <a:ea typeface="BIZ UDゴシック" panose="020B0400000000000000" pitchFamily="49" charset="-128"/>
                      </a:rPr>
                      <a:t>8.0%</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1A-4730-8CB4-3694C138678D}"/>
                </c:ext>
              </c:extLst>
            </c:dLbl>
            <c:dLbl>
              <c:idx val="7"/>
              <c:layout>
                <c:manualLayout>
                  <c:x val="-0.10725953613064802"/>
                  <c:y val="-1.7172623757621509E-2"/>
                </c:manualLayout>
              </c:layout>
              <c:tx>
                <c:rich>
                  <a:bodyPr/>
                  <a:lstStyle/>
                  <a:p>
                    <a:r>
                      <a:rPr lang="ja-JP" altLang="en-US" sz="1400">
                        <a:latin typeface="BIZ UDゴシック" panose="020B0400000000000000" pitchFamily="49" charset="-128"/>
                        <a:ea typeface="BIZ UDゴシック" panose="020B0400000000000000" pitchFamily="49" charset="-128"/>
                      </a:rPr>
                      <a:t>地方消費税交付金</a:t>
                    </a:r>
                  </a:p>
                  <a:p>
                    <a:r>
                      <a:rPr lang="en-US" altLang="ja-JP" sz="1600">
                        <a:latin typeface="BIZ UDゴシック" panose="020B0400000000000000" pitchFamily="49" charset="-128"/>
                        <a:ea typeface="BIZ UDゴシック" panose="020B0400000000000000" pitchFamily="49" charset="-128"/>
                      </a:rPr>
                      <a:t>7,700,000</a:t>
                    </a:r>
                  </a:p>
                  <a:p>
                    <a:r>
                      <a:rPr lang="en-US" altLang="ja-JP" sz="1600" b="0" i="0" u="none" strike="noStrike" baseline="0">
                        <a:effectLst/>
                        <a:latin typeface="BIZ UDゴシック" panose="020B0400000000000000" pitchFamily="49" charset="-128"/>
                        <a:ea typeface="BIZ UDゴシック" panose="020B0400000000000000" pitchFamily="49" charset="-128"/>
                      </a:rPr>
                      <a:t>6.7%</a:t>
                    </a:r>
                    <a:endParaRPr lang="ja-JP" altLang="en-US"/>
                  </a:p>
                </c:rich>
              </c:tx>
              <c:showLegendKey val="0"/>
              <c:showVal val="1"/>
              <c:showCatName val="1"/>
              <c:showSerName val="0"/>
              <c:showPercent val="0"/>
              <c:showBubbleSize val="0"/>
              <c:extLst>
                <c:ext xmlns:c15="http://schemas.microsoft.com/office/drawing/2012/chart" uri="{CE6537A1-D6FC-4f65-9D91-7224C49458BB}">
                  <c15:layout>
                    <c:manualLayout>
                      <c:w val="0.25267540813047129"/>
                      <c:h val="9.6013398052716387E-2"/>
                    </c:manualLayout>
                  </c15:layout>
                </c:ext>
                <c:ext xmlns:c16="http://schemas.microsoft.com/office/drawing/2014/chart" uri="{C3380CC4-5D6E-409C-BE32-E72D297353CC}">
                  <c16:uniqueId val="{0000000F-CD1A-4730-8CB4-3694C138678D}"/>
                </c:ext>
              </c:extLst>
            </c:dLbl>
            <c:dLbl>
              <c:idx val="8"/>
              <c:layout>
                <c:manualLayout>
                  <c:x val="-0.17240118529690557"/>
                  <c:y val="-5.4749143094812255E-2"/>
                </c:manualLayout>
              </c:layout>
              <c:tx>
                <c:rich>
                  <a:bodyPr/>
                  <a:lstStyle/>
                  <a:p>
                    <a:r>
                      <a:rPr lang="ja-JP" altLang="en-US" sz="1600">
                        <a:latin typeface="BIZ UDゴシック" panose="020B0400000000000000" pitchFamily="49" charset="-128"/>
                        <a:ea typeface="BIZ UDゴシック" panose="020B0400000000000000" pitchFamily="49" charset="-128"/>
                      </a:rPr>
                      <a:t>県支出金</a:t>
                    </a:r>
                  </a:p>
                  <a:p>
                    <a:r>
                      <a:rPr lang="en-US" altLang="ja-JP" sz="1600">
                        <a:latin typeface="BIZ UDゴシック" panose="020B0400000000000000" pitchFamily="49" charset="-128"/>
                        <a:ea typeface="BIZ UDゴシック" panose="020B0400000000000000" pitchFamily="49" charset="-128"/>
                      </a:rPr>
                      <a:t>7,607,370</a:t>
                    </a:r>
                  </a:p>
                  <a:p>
                    <a:r>
                      <a:rPr lang="en-US" altLang="ja-JP" sz="1600" b="0" i="0" u="none" strike="noStrike" baseline="0">
                        <a:effectLst/>
                        <a:latin typeface="BIZ UDゴシック" panose="020B0400000000000000" pitchFamily="49" charset="-128"/>
                        <a:ea typeface="BIZ UDゴシック" panose="020B0400000000000000" pitchFamily="49" charset="-128"/>
                      </a:rPr>
                      <a:t>6.6%</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D1A-4730-8CB4-3694C138678D}"/>
                </c:ext>
              </c:extLst>
            </c:dLbl>
            <c:dLbl>
              <c:idx val="9"/>
              <c:layout>
                <c:manualLayout>
                  <c:x val="-0.19436648954654051"/>
                  <c:y val="-0.10958193283006638"/>
                </c:manualLayout>
              </c:layout>
              <c:tx>
                <c:rich>
                  <a:bodyPr/>
                  <a:lstStyle/>
                  <a:p>
                    <a:r>
                      <a:rPr lang="ja-JP" altLang="en-US" sz="1600">
                        <a:latin typeface="BIZ UDゴシック" panose="020B0400000000000000" pitchFamily="49" charset="-128"/>
                        <a:ea typeface="BIZ UDゴシック" panose="020B0400000000000000" pitchFamily="49" charset="-128"/>
                      </a:rPr>
                      <a:t>地方交付税</a:t>
                    </a:r>
                  </a:p>
                  <a:p>
                    <a:r>
                      <a:rPr lang="en-US" altLang="ja-JP" sz="1600">
                        <a:latin typeface="BIZ UDゴシック" panose="020B0400000000000000" pitchFamily="49" charset="-128"/>
                        <a:ea typeface="BIZ UDゴシック" panose="020B0400000000000000" pitchFamily="49" charset="-128"/>
                      </a:rPr>
                      <a:t>5,900,000</a:t>
                    </a:r>
                  </a:p>
                  <a:p>
                    <a:r>
                      <a:rPr lang="en-US" altLang="ja-JP" sz="1600" b="0" i="0" u="none" strike="noStrike" baseline="0">
                        <a:effectLst/>
                        <a:latin typeface="BIZ UDゴシック" panose="020B0400000000000000" pitchFamily="49" charset="-128"/>
                        <a:ea typeface="BIZ UDゴシック" panose="020B0400000000000000" pitchFamily="49" charset="-128"/>
                      </a:rPr>
                      <a:t>5.1%</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D1A-4730-8CB4-3694C138678D}"/>
                </c:ext>
              </c:extLst>
            </c:dLbl>
            <c:dLbl>
              <c:idx val="10"/>
              <c:layout>
                <c:manualLayout>
                  <c:x val="-0.27149579030413468"/>
                  <c:y val="-0.20752836577372827"/>
                </c:manualLayout>
              </c:layout>
              <c:tx>
                <c:rich>
                  <a:bodyPr/>
                  <a:lstStyle/>
                  <a:p>
                    <a:r>
                      <a:rPr lang="ja-JP" altLang="en-US" sz="1600">
                        <a:latin typeface="BIZ UDゴシック" panose="020B0400000000000000" pitchFamily="49" charset="-128"/>
                        <a:ea typeface="BIZ UDゴシック" panose="020B0400000000000000" pitchFamily="49" charset="-128"/>
                      </a:rPr>
                      <a:t>地方特例交付金</a:t>
                    </a:r>
                  </a:p>
                  <a:p>
                    <a:r>
                      <a:rPr lang="en-US" altLang="ja-JP" sz="1600">
                        <a:latin typeface="BIZ UDゴシック" panose="020B0400000000000000" pitchFamily="49" charset="-128"/>
                        <a:ea typeface="BIZ UDゴシック" panose="020B0400000000000000" pitchFamily="49" charset="-128"/>
                      </a:rPr>
                      <a:t>1,990,000</a:t>
                    </a:r>
                  </a:p>
                  <a:p>
                    <a:r>
                      <a:rPr lang="en-US" altLang="ja-JP" sz="1600">
                        <a:latin typeface="BIZ UDゴシック" panose="020B0400000000000000" pitchFamily="49" charset="-128"/>
                        <a:ea typeface="BIZ UDゴシック" panose="020B0400000000000000" pitchFamily="49" charset="-128"/>
                      </a:rPr>
                      <a:t>1.7</a:t>
                    </a:r>
                    <a:r>
                      <a:rPr lang="en-US" altLang="ja-JP" sz="1600" b="0" i="0" u="none" strike="noStrike" baseline="0">
                        <a:effectLst/>
                        <a:latin typeface="BIZ UDゴシック" panose="020B0400000000000000" pitchFamily="49" charset="-128"/>
                        <a:ea typeface="BIZ UDゴシック" panose="020B0400000000000000" pitchFamily="49" charset="-128"/>
                      </a:rPr>
                      <a:t>%</a:t>
                    </a:r>
                    <a:endParaRPr lang="ja-JP" altLang="en-US"/>
                  </a:p>
                </c:rich>
              </c:tx>
              <c:showLegendKey val="0"/>
              <c:showVal val="1"/>
              <c:showCatName val="1"/>
              <c:showSerName val="0"/>
              <c:showPercent val="0"/>
              <c:showBubbleSize val="0"/>
              <c:extLst>
                <c:ext xmlns:c15="http://schemas.microsoft.com/office/drawing/2012/chart" uri="{CE6537A1-D6FC-4f65-9D91-7224C49458BB}">
                  <c15:layout>
                    <c:manualLayout>
                      <c:w val="0.22024293200045458"/>
                      <c:h val="0.11130257364739915"/>
                    </c:manualLayout>
                  </c15:layout>
                </c:ext>
                <c:ext xmlns:c16="http://schemas.microsoft.com/office/drawing/2014/chart" uri="{C3380CC4-5D6E-409C-BE32-E72D297353CC}">
                  <c16:uniqueId val="{00000015-CD1A-4730-8CB4-3694C138678D}"/>
                </c:ext>
              </c:extLst>
            </c:dLbl>
            <c:dLbl>
              <c:idx val="11"/>
              <c:layout>
                <c:manualLayout>
                  <c:x val="2.2282984787253473E-2"/>
                  <c:y val="-0.1470912215704932"/>
                </c:manualLayout>
              </c:layout>
              <c:tx>
                <c:rich>
                  <a:bodyPr/>
                  <a:lstStyle/>
                  <a:p>
                    <a:pPr>
                      <a:defRPr sz="1600">
                        <a:latin typeface="BIZ UDゴシック" panose="020B0400000000000000" pitchFamily="49" charset="-128"/>
                        <a:ea typeface="BIZ UDゴシック" panose="020B0400000000000000" pitchFamily="49" charset="-128"/>
                      </a:defRPr>
                    </a:pPr>
                    <a:r>
                      <a:rPr lang="ja-JP" altLang="en-US" sz="1400">
                        <a:latin typeface="BIZ UDゴシック" panose="020B0400000000000000" pitchFamily="49" charset="-128"/>
                        <a:ea typeface="BIZ UDゴシック" panose="020B0400000000000000" pitchFamily="49" charset="-128"/>
                      </a:rPr>
                      <a:t>地方譲与税</a:t>
                    </a:r>
                  </a:p>
                  <a:p>
                    <a:pPr>
                      <a:defRPr sz="1600">
                        <a:latin typeface="BIZ UDゴシック" panose="020B0400000000000000" pitchFamily="49" charset="-128"/>
                        <a:ea typeface="BIZ UDゴシック" panose="020B0400000000000000" pitchFamily="49" charset="-128"/>
                      </a:defRPr>
                    </a:pPr>
                    <a:r>
                      <a:rPr lang="en-US" altLang="ja-JP" sz="1600">
                        <a:latin typeface="BIZ UDゴシック" panose="020B0400000000000000" pitchFamily="49" charset="-128"/>
                        <a:ea typeface="BIZ UDゴシック" panose="020B0400000000000000" pitchFamily="49" charset="-128"/>
                      </a:rPr>
                      <a:t>717,000</a:t>
                    </a:r>
                  </a:p>
                  <a:p>
                    <a:pPr>
                      <a:defRPr sz="1600">
                        <a:latin typeface="BIZ UDゴシック" panose="020B0400000000000000" pitchFamily="49" charset="-128"/>
                        <a:ea typeface="BIZ UDゴシック" panose="020B0400000000000000" pitchFamily="49" charset="-128"/>
                      </a:defRPr>
                    </a:pPr>
                    <a:r>
                      <a:rPr lang="en-US" altLang="ja-JP" sz="1600">
                        <a:latin typeface="BIZ UDゴシック" panose="020B0400000000000000" pitchFamily="49" charset="-128"/>
                        <a:ea typeface="BIZ UDゴシック" panose="020B0400000000000000" pitchFamily="49" charset="-128"/>
                      </a:rPr>
                      <a:t>0.6%</a:t>
                    </a:r>
                    <a:endParaRPr lang="ja-JP" altLang="en-US" sz="1200"/>
                  </a:p>
                </c:rich>
              </c:tx>
              <c:spPr/>
              <c:showLegendKey val="0"/>
              <c:showVal val="1"/>
              <c:showCatName val="1"/>
              <c:showSerName val="0"/>
              <c:showPercent val="0"/>
              <c:showBubbleSize val="0"/>
              <c:extLst>
                <c:ext xmlns:c15="http://schemas.microsoft.com/office/drawing/2012/chart" uri="{CE6537A1-D6FC-4f65-9D91-7224C49458BB}">
                  <c15:layout>
                    <c:manualLayout>
                      <c:w val="0.24693904497020661"/>
                      <c:h val="9.9825329842031837E-2"/>
                    </c:manualLayout>
                  </c15:layout>
                </c:ext>
                <c:ext xmlns:c16="http://schemas.microsoft.com/office/drawing/2014/chart" uri="{C3380CC4-5D6E-409C-BE32-E72D297353CC}">
                  <c16:uniqueId val="{00000017-CD1A-4730-8CB4-3694C138678D}"/>
                </c:ext>
              </c:extLst>
            </c:dLbl>
            <c:dLbl>
              <c:idx val="12"/>
              <c:layout>
                <c:manualLayout>
                  <c:x val="0.33433756823896837"/>
                  <c:y val="-0.12309537311147063"/>
                </c:manualLayout>
              </c:layout>
              <c:tx>
                <c:rich>
                  <a:bodyPr/>
                  <a:lstStyle/>
                  <a:p>
                    <a:r>
                      <a:rPr lang="ja-JP" altLang="en-US" sz="1400">
                        <a:latin typeface="BIZ UDゴシック" panose="020B0400000000000000" pitchFamily="49" charset="-128"/>
                        <a:ea typeface="BIZ UDゴシック" panose="020B0400000000000000" pitchFamily="49" charset="-128"/>
                      </a:rPr>
                      <a:t>その他依存財源</a:t>
                    </a:r>
                  </a:p>
                  <a:p>
                    <a:r>
                      <a:rPr lang="en-US" altLang="ja-JP" sz="1600">
                        <a:latin typeface="BIZ UDゴシック" panose="020B0400000000000000" pitchFamily="49" charset="-128"/>
                        <a:ea typeface="BIZ UDゴシック" panose="020B0400000000000000" pitchFamily="49" charset="-128"/>
                      </a:rPr>
                      <a:t>1,182,000</a:t>
                    </a:r>
                  </a:p>
                  <a:p>
                    <a:r>
                      <a:rPr lang="en-US" altLang="ja-JP" sz="1600" b="0" i="0" u="none" strike="noStrike" baseline="0">
                        <a:effectLst/>
                        <a:latin typeface="BIZ UDゴシック" panose="020B0400000000000000" pitchFamily="49" charset="-128"/>
                        <a:ea typeface="BIZ UDゴシック" panose="020B0400000000000000" pitchFamily="49" charset="-128"/>
                      </a:rPr>
                      <a:t>0.9%</a:t>
                    </a:r>
                    <a:endParaRPr lang="ja-JP" altLang="en-US"/>
                  </a:p>
                </c:rich>
              </c:tx>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D1A-4730-8CB4-3694C138678D}"/>
                </c:ext>
              </c:extLst>
            </c:dLbl>
            <c:spPr>
              <a:noFill/>
              <a:ln>
                <a:noFill/>
              </a:ln>
              <a:effectLst/>
            </c:spPr>
            <c:txPr>
              <a:bodyPr/>
              <a:lstStyle/>
              <a:p>
                <a:pPr>
                  <a:defRPr sz="1600">
                    <a:latin typeface="BIZ UDゴシック" panose="020B0400000000000000" pitchFamily="49" charset="-128"/>
                    <a:ea typeface="BIZ UDゴシック" panose="020B0400000000000000" pitchFamily="49" charset="-128"/>
                  </a:defRPr>
                </a:pPr>
                <a:endParaRPr lang="ja-JP"/>
              </a:p>
            </c:txPr>
            <c:showLegendKey val="0"/>
            <c:showVal val="1"/>
            <c:showCatName val="1"/>
            <c:showSerName val="0"/>
            <c:showPercent val="0"/>
            <c:showBubbleSize val="0"/>
            <c:showLeaderLines val="0"/>
            <c:extLst>
              <c:ext xmlns:c15="http://schemas.microsoft.com/office/drawing/2012/chart" uri="{CE6537A1-D6FC-4f65-9D91-7224C49458BB}"/>
            </c:extLst>
          </c:dLbls>
          <c:cat>
            <c:strRef>
              <c:f>(グラフデータ!$B$51:$B$55,グラフデータ!$B$61:$B$68)</c:f>
              <c:strCache>
                <c:ptCount val="13"/>
                <c:pt idx="0">
                  <c:v>市税</c:v>
                </c:pt>
                <c:pt idx="1">
                  <c:v>繰入金</c:v>
                </c:pt>
                <c:pt idx="2">
                  <c:v>諸収入</c:v>
                </c:pt>
                <c:pt idx="3">
                  <c:v>使用料及び手数料</c:v>
                </c:pt>
                <c:pt idx="4">
                  <c:v>その他自主財源</c:v>
                </c:pt>
                <c:pt idx="5">
                  <c:v>国庫支出金</c:v>
                </c:pt>
                <c:pt idx="6">
                  <c:v>市債</c:v>
                </c:pt>
                <c:pt idx="7">
                  <c:v>地方消費税交付金</c:v>
                </c:pt>
                <c:pt idx="8">
                  <c:v>県支出金</c:v>
                </c:pt>
                <c:pt idx="9">
                  <c:v>地方交付税</c:v>
                </c:pt>
                <c:pt idx="10">
                  <c:v>地方特例交付金</c:v>
                </c:pt>
                <c:pt idx="11">
                  <c:v>地方譲与税</c:v>
                </c:pt>
                <c:pt idx="12">
                  <c:v>その他依存財源</c:v>
                </c:pt>
              </c:strCache>
            </c:strRef>
          </c:cat>
          <c:val>
            <c:numRef>
              <c:f>(グラフデータ!$D$51:$D$55,グラフデータ!$D$61:$D$68)</c:f>
              <c:numCache>
                <c:formatCode>#,##0;"△ "#,##0</c:formatCode>
                <c:ptCount val="13"/>
                <c:pt idx="0">
                  <c:v>47149000</c:v>
                </c:pt>
                <c:pt idx="1">
                  <c:v>7138910</c:v>
                </c:pt>
                <c:pt idx="2">
                  <c:v>3016865</c:v>
                </c:pt>
                <c:pt idx="3">
                  <c:v>1531925</c:v>
                </c:pt>
                <c:pt idx="4">
                  <c:v>1687890</c:v>
                </c:pt>
                <c:pt idx="5">
                  <c:v>20868640</c:v>
                </c:pt>
                <c:pt idx="6">
                  <c:v>9210400</c:v>
                </c:pt>
                <c:pt idx="7">
                  <c:v>7700000</c:v>
                </c:pt>
                <c:pt idx="8">
                  <c:v>7607370</c:v>
                </c:pt>
                <c:pt idx="9">
                  <c:v>5900000</c:v>
                </c:pt>
                <c:pt idx="10">
                  <c:v>1990000</c:v>
                </c:pt>
                <c:pt idx="11">
                  <c:v>717000</c:v>
                </c:pt>
                <c:pt idx="12">
                  <c:v>1182000</c:v>
                </c:pt>
              </c:numCache>
            </c:numRef>
          </c:val>
          <c:extLst>
            <c:ext xmlns:c16="http://schemas.microsoft.com/office/drawing/2014/chart" uri="{C3380CC4-5D6E-409C-BE32-E72D297353CC}">
              <c16:uniqueId val="{0000000D-8D89-47F2-B931-61867F539BB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 l="0.7" r="0.7" t="0.75" header="0.3" footer="0.3"/>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manualLayout>
          <c:layoutTarget val="inner"/>
          <c:xMode val="edge"/>
          <c:yMode val="edge"/>
          <c:x val="0.23726291458127013"/>
          <c:y val="0.11074477658214926"/>
          <c:w val="0.54330672432374671"/>
          <c:h val="0.80319490903425905"/>
        </c:manualLayout>
      </c:layout>
      <c:doughnutChart>
        <c:varyColors val="0"/>
        <c:ser>
          <c:idx val="0"/>
          <c:order val="0"/>
          <c:spPr>
            <a:solidFill>
              <a:schemeClr val="accent6">
                <a:lumMod val="60000"/>
                <a:lumOff val="40000"/>
              </a:schemeClr>
            </a:solidFill>
            <a:effectLst/>
          </c:spPr>
          <c:dPt>
            <c:idx val="0"/>
            <c:bubble3D val="0"/>
            <c:spPr>
              <a:solidFill>
                <a:schemeClr val="tx2">
                  <a:lumMod val="40000"/>
                  <a:lumOff val="60000"/>
                </a:schemeClr>
              </a:solidFill>
              <a:effectLst/>
            </c:spPr>
            <c:extLst>
              <c:ext xmlns:c16="http://schemas.microsoft.com/office/drawing/2014/chart" uri="{C3380CC4-5D6E-409C-BE32-E72D297353CC}">
                <c16:uniqueId val="{00000000-9875-4775-A7C1-2B80DE853221}"/>
              </c:ext>
            </c:extLst>
          </c:dPt>
          <c:dPt>
            <c:idx val="1"/>
            <c:bubble3D val="0"/>
            <c:explosion val="1"/>
            <c:spPr>
              <a:solidFill>
                <a:srgbClr val="FFC000"/>
              </a:solidFill>
              <a:effectLst/>
            </c:spPr>
            <c:extLst>
              <c:ext xmlns:c16="http://schemas.microsoft.com/office/drawing/2014/chart" uri="{C3380CC4-5D6E-409C-BE32-E72D297353CC}">
                <c16:uniqueId val="{00000003-FA56-4E6B-AC61-93EF1DCC44BE}"/>
              </c:ext>
            </c:extLst>
          </c:dPt>
          <c:dLbls>
            <c:dLbl>
              <c:idx val="0"/>
              <c:layout>
                <c:manualLayout>
                  <c:x val="1.2704692410338312E-2"/>
                  <c:y val="-9.536730561060057E-2"/>
                </c:manualLayout>
              </c:layout>
              <c:tx>
                <c:rich>
                  <a:bodyPr/>
                  <a:lstStyle/>
                  <a:p>
                    <a:r>
                      <a:rPr lang="ja-JP" altLang="en-US" b="1">
                        <a:latin typeface="BIZ UDゴシック" panose="020B0400000000000000" pitchFamily="49" charset="-128"/>
                        <a:ea typeface="BIZ UDゴシック" panose="020B0400000000000000" pitchFamily="49" charset="-128"/>
                      </a:rPr>
                      <a:t>自主財源計</a:t>
                    </a:r>
                  </a:p>
                  <a:p>
                    <a:r>
                      <a:rPr lang="en-US" altLang="ja-JP" b="1">
                        <a:latin typeface="BIZ UDゴシック" panose="020B0400000000000000" pitchFamily="49" charset="-128"/>
                        <a:ea typeface="BIZ UDゴシック" panose="020B0400000000000000" pitchFamily="49" charset="-128"/>
                      </a:rPr>
                      <a:t>60,524,590</a:t>
                    </a:r>
                  </a:p>
                  <a:p>
                    <a:r>
                      <a:rPr lang="en-US" altLang="ja-JP" b="1">
                        <a:latin typeface="BIZ UDゴシック" panose="020B0400000000000000" pitchFamily="49" charset="-128"/>
                        <a:ea typeface="BIZ UDゴシック" panose="020B0400000000000000" pitchFamily="49" charset="-128"/>
                      </a:rPr>
                      <a:t>52.4%</a:t>
                    </a:r>
                    <a:endParaRPr lang="ja-JP" altLang="en-US"/>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875-4775-A7C1-2B80DE853221}"/>
                </c:ext>
              </c:extLst>
            </c:dLbl>
            <c:dLbl>
              <c:idx val="1"/>
              <c:layout>
                <c:manualLayout>
                  <c:x val="-1.2234435146949753E-2"/>
                  <c:y val="3.3521209123124639E-2"/>
                </c:manualLayout>
              </c:layout>
              <c:tx>
                <c:rich>
                  <a:bodyPr/>
                  <a:lstStyle/>
                  <a:p>
                    <a:r>
                      <a:rPr lang="ja-JP" altLang="en-US" b="1">
                        <a:latin typeface="BIZ UDゴシック" panose="020B0400000000000000" pitchFamily="49" charset="-128"/>
                        <a:ea typeface="BIZ UDゴシック" panose="020B0400000000000000" pitchFamily="49" charset="-128"/>
                      </a:rPr>
                      <a:t>依存財源計</a:t>
                    </a:r>
                  </a:p>
                  <a:p>
                    <a:r>
                      <a:rPr lang="en-US" altLang="ja-JP" b="1">
                        <a:latin typeface="BIZ UDゴシック" panose="020B0400000000000000" pitchFamily="49" charset="-128"/>
                        <a:ea typeface="BIZ UDゴシック" panose="020B0400000000000000" pitchFamily="49" charset="-128"/>
                      </a:rPr>
                      <a:t>55,175,410</a:t>
                    </a:r>
                  </a:p>
                  <a:p>
                    <a:r>
                      <a:rPr lang="en-US" altLang="ja-JP" b="1">
                        <a:latin typeface="BIZ UDゴシック" panose="020B0400000000000000" pitchFamily="49" charset="-128"/>
                        <a:ea typeface="BIZ UDゴシック" panose="020B0400000000000000" pitchFamily="49" charset="-128"/>
                      </a:rPr>
                      <a:t>47.6%</a:t>
                    </a:r>
                    <a:endParaRPr lang="ja-JP" altLang="en-US"/>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A56-4E6B-AC61-93EF1DCC44BE}"/>
                </c:ext>
              </c:extLst>
            </c:dLbl>
            <c:spPr>
              <a:noFill/>
              <a:ln>
                <a:noFill/>
              </a:ln>
              <a:effectLst/>
            </c:spPr>
            <c:txPr>
              <a:bodyPr/>
              <a:lstStyle/>
              <a:p>
                <a:pPr>
                  <a:defRPr sz="1200" b="1">
                    <a:latin typeface="BIZ UDゴシック" panose="020B0400000000000000" pitchFamily="49" charset="-128"/>
                    <a:ea typeface="BIZ UDゴシック" panose="020B0400000000000000" pitchFamily="49" charset="-128"/>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val>
            <c:numRef>
              <c:f>(グラフデータ!$D$60,グラフデータ!$D$76)</c:f>
              <c:numCache>
                <c:formatCode>#,##0;"△ "#,##0</c:formatCode>
                <c:ptCount val="2"/>
                <c:pt idx="0">
                  <c:v>60524590</c:v>
                </c:pt>
                <c:pt idx="1">
                  <c:v>55175410</c:v>
                </c:pt>
              </c:numCache>
            </c:numRef>
          </c:val>
          <c:extLst>
            <c:ext xmlns:c16="http://schemas.microsoft.com/office/drawing/2014/chart" uri="{C3380CC4-5D6E-409C-BE32-E72D297353CC}">
              <c16:uniqueId val="{00000002-9875-4775-A7C1-2B80DE853221}"/>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特別会計現在高（区画整理・公共用地・公共下水・福祉資金）</a:t>
            </a:r>
          </a:p>
        </c:rich>
      </c:tx>
      <c:layout>
        <c:manualLayout>
          <c:xMode val="edge"/>
          <c:yMode val="edge"/>
          <c:x val="4.6965540471404436E-2"/>
          <c:y val="2.951686832667777E-2"/>
        </c:manualLayout>
      </c:layout>
      <c:overlay val="0"/>
      <c:spPr>
        <a:noFill/>
        <a:ln w="25400">
          <a:noFill/>
        </a:ln>
      </c:spPr>
    </c:title>
    <c:autoTitleDeleted val="0"/>
    <c:plotArea>
      <c:layout>
        <c:manualLayout>
          <c:layoutTarget val="inner"/>
          <c:xMode val="edge"/>
          <c:yMode val="edge"/>
          <c:x val="0.16304358642816058"/>
          <c:y val="0.23163905709044263"/>
          <c:w val="0.79347878728371479"/>
          <c:h val="0.61582090787459143"/>
        </c:manualLayout>
      </c:layout>
      <c:barChart>
        <c:barDir val="col"/>
        <c:grouping val="stacked"/>
        <c:varyColors val="0"/>
        <c:ser>
          <c:idx val="0"/>
          <c:order val="0"/>
          <c:tx>
            <c:v>福祉資金</c:v>
          </c:tx>
          <c:spPr>
            <a:solidFill>
              <a:srgbClr val="FFFFFF"/>
            </a:solidFill>
            <a:ln w="12700">
              <a:solidFill>
                <a:schemeClr val="tx1"/>
              </a:solidFill>
            </a:ln>
          </c:spPr>
          <c:invertIfNegative val="0"/>
          <c:val>
            <c:numRef>
              <c:f>市債G!$E$62:$X$62</c:f>
              <c:numCache>
                <c:formatCode>#,##0_);[Red]\(#,##0\)</c:formatCode>
                <c:ptCount val="20"/>
                <c:pt idx="0">
                  <c:v>20000</c:v>
                </c:pt>
                <c:pt idx="2">
                  <c:v>20000</c:v>
                </c:pt>
                <c:pt idx="4">
                  <c:v>272889</c:v>
                </c:pt>
                <c:pt idx="6">
                  <c:v>272889</c:v>
                </c:pt>
                <c:pt idx="8">
                  <c:v>224745</c:v>
                </c:pt>
                <c:pt idx="10">
                  <c:v>128196</c:v>
                </c:pt>
                <c:pt idx="12">
                  <c:v>63834</c:v>
                </c:pt>
                <c:pt idx="14">
                  <c:v>48231</c:v>
                </c:pt>
                <c:pt idx="16">
                  <c:v>45484</c:v>
                </c:pt>
                <c:pt idx="18">
                  <c:v>42384</c:v>
                </c:pt>
              </c:numCache>
            </c:numRef>
          </c:val>
          <c:extLst>
            <c:ext xmlns:c16="http://schemas.microsoft.com/office/drawing/2014/chart" uri="{C3380CC4-5D6E-409C-BE32-E72D297353CC}">
              <c16:uniqueId val="{00000000-6DFD-4036-9128-2E87FB5CCD70}"/>
            </c:ext>
          </c:extLst>
        </c:ser>
        <c:ser>
          <c:idx val="3"/>
          <c:order val="1"/>
          <c:tx>
            <c:strRef>
              <c:f>市債G!$A$61</c:f>
              <c:strCache>
                <c:ptCount val="1"/>
                <c:pt idx="0">
                  <c:v>公共下水</c:v>
                </c:pt>
              </c:strCache>
            </c:strRef>
          </c:tx>
          <c:spPr>
            <a:gradFill rotWithShape="0">
              <a:gsLst>
                <a:gs pos="0">
                  <a:srgbClr xmlns:mc="http://schemas.openxmlformats.org/markup-compatibility/2006" xmlns:a14="http://schemas.microsoft.com/office/drawing/2010/main" val="000080" mc:Ignorable="a14" a14:legacySpreadsheetColorIndex="18"/>
                </a:gs>
                <a:gs pos="100000">
                  <a:srgbClr xmlns:mc="http://schemas.openxmlformats.org/markup-compatibility/2006" xmlns:a14="http://schemas.microsoft.com/office/drawing/2010/main" val="242492" mc:Ignorable="a14" a14:legacySpreadsheetColorIndex="18">
                    <a:gamma/>
                    <a:tint val="85882"/>
                    <a:invGamma/>
                  </a:srgbClr>
                </a:gs>
              </a:gsLst>
              <a:lin ang="0" scaled="1"/>
            </a:gradFill>
            <a:ln w="12700">
              <a:solidFill>
                <a:srgbClr val="000000"/>
              </a:solidFill>
              <a:prstDash val="solid"/>
            </a:ln>
          </c:spPr>
          <c:invertIfNegative val="0"/>
          <c:cat>
            <c:strRef>
              <c:f>市債G!$E$57:$X$57</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市債G!$E$61:$X$61</c:f>
              <c:numCache>
                <c:formatCode>General</c:formatCode>
                <c:ptCount val="20"/>
                <c:pt idx="0" formatCode="#,##0_);[Red]\(#,##0\)">
                  <c:v>39053568</c:v>
                </c:pt>
                <c:pt idx="2" formatCode="#,##0_);[Red]\(#,##0\)">
                  <c:v>36657778</c:v>
                </c:pt>
                <c:pt idx="4" formatCode="#,##0_);[Red]\(#,##0\)">
                  <c:v>34295493</c:v>
                </c:pt>
                <c:pt idx="6" formatCode="#,##0_);[Red]\(#,##0\)">
                  <c:v>31901375</c:v>
                </c:pt>
                <c:pt idx="8" formatCode="#,##0_);[Red]\(#,##0\)">
                  <c:v>29846493</c:v>
                </c:pt>
                <c:pt idx="10" formatCode="#,##0_);[Red]\(#,##0\)">
                  <c:v>0</c:v>
                </c:pt>
                <c:pt idx="12" formatCode="#,##0_);[Red]\(#,##0\)">
                  <c:v>0</c:v>
                </c:pt>
                <c:pt idx="14" formatCode="#,##0_);[Red]\(#,##0\)">
                  <c:v>0</c:v>
                </c:pt>
                <c:pt idx="16" formatCode="#,##0_);[Red]\(#,##0\)">
                  <c:v>0</c:v>
                </c:pt>
                <c:pt idx="18" formatCode="#,##0_);[Red]\(#,##0\)">
                  <c:v>0</c:v>
                </c:pt>
              </c:numCache>
            </c:numRef>
          </c:val>
          <c:extLst>
            <c:ext xmlns:c16="http://schemas.microsoft.com/office/drawing/2014/chart" uri="{C3380CC4-5D6E-409C-BE32-E72D297353CC}">
              <c16:uniqueId val="{00000001-6DFD-4036-9128-2E87FB5CCD70}"/>
            </c:ext>
          </c:extLst>
        </c:ser>
        <c:ser>
          <c:idx val="1"/>
          <c:order val="2"/>
          <c:tx>
            <c:strRef>
              <c:f>市債G!$A$60:$D$60</c:f>
              <c:strCache>
                <c:ptCount val="4"/>
                <c:pt idx="0">
                  <c:v>公共用地</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AE5D86" mc:Ignorable="a14" a14:legacySpreadsheetColorIndex="25">
                    <a:gamma/>
                    <a:tint val="79216"/>
                    <a:invGamma/>
                  </a:srgbClr>
                </a:gs>
              </a:gsLst>
              <a:lin ang="0" scaled="1"/>
            </a:gradFill>
            <a:ln w="12700">
              <a:solidFill>
                <a:srgbClr val="000000"/>
              </a:solidFill>
              <a:prstDash val="solid"/>
            </a:ln>
          </c:spPr>
          <c:invertIfNegative val="0"/>
          <c:cat>
            <c:strRef>
              <c:f>市債G!$E$57:$X$57</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市債G!$E$60:$X$60</c:f>
              <c:numCache>
                <c:formatCode>General</c:formatCode>
                <c:ptCount val="20"/>
                <c:pt idx="0" formatCode="#,##0_);[Red]\(#,##0\)">
                  <c:v>1324800</c:v>
                </c:pt>
                <c:pt idx="2" formatCode="#,##0_);[Red]\(#,##0\)">
                  <c:v>2099300</c:v>
                </c:pt>
                <c:pt idx="4" formatCode="#,##0_);[Red]\(#,##0\)">
                  <c:v>2022460</c:v>
                </c:pt>
                <c:pt idx="6" formatCode="#,##0_);[Red]\(#,##0\)">
                  <c:v>1797700</c:v>
                </c:pt>
                <c:pt idx="8" formatCode="#,##0_);[Red]\(#,##0\)">
                  <c:v>1540900</c:v>
                </c:pt>
                <c:pt idx="10" formatCode="#,##0_);[Red]\(#,##0\)">
                  <c:v>1284100</c:v>
                </c:pt>
                <c:pt idx="12" formatCode="#,##0_);[Red]\(#,##0\)">
                  <c:v>1218600</c:v>
                </c:pt>
                <c:pt idx="14" formatCode="#,##0_);[Red]\(#,##0\)">
                  <c:v>1000900</c:v>
                </c:pt>
                <c:pt idx="16" formatCode="#,##0_);[Red]\(#,##0\)">
                  <c:v>613600</c:v>
                </c:pt>
                <c:pt idx="18" formatCode="#,##0_);[Red]\(#,##0\)">
                  <c:v>306800</c:v>
                </c:pt>
              </c:numCache>
            </c:numRef>
          </c:val>
          <c:extLst>
            <c:ext xmlns:c16="http://schemas.microsoft.com/office/drawing/2014/chart" uri="{C3380CC4-5D6E-409C-BE32-E72D297353CC}">
              <c16:uniqueId val="{00000002-6DFD-4036-9128-2E87FB5CCD70}"/>
            </c:ext>
          </c:extLst>
        </c:ser>
        <c:ser>
          <c:idx val="2"/>
          <c:order val="3"/>
          <c:tx>
            <c:strRef>
              <c:f>市債G!$A$59</c:f>
              <c:strCache>
                <c:ptCount val="1"/>
                <c:pt idx="0">
                  <c:v>区画整理</c:v>
                </c:pt>
              </c:strCache>
            </c:strRef>
          </c:tx>
          <c:spPr>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FE7FF" mc:Ignorable="a14" a14:legacySpreadsheetColorIndex="44">
                    <a:gamma/>
                    <a:tint val="47451"/>
                    <a:invGamma/>
                  </a:srgbClr>
                </a:gs>
              </a:gsLst>
              <a:lin ang="0" scaled="1"/>
            </a:gradFill>
            <a:ln w="12700">
              <a:solidFill>
                <a:srgbClr val="000000"/>
              </a:solidFill>
              <a:prstDash val="solid"/>
            </a:ln>
          </c:spPr>
          <c:invertIfNegative val="0"/>
          <c:cat>
            <c:strRef>
              <c:f>市債G!$E$57:$X$57</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市債G!$E$59:$X$59</c:f>
              <c:numCache>
                <c:formatCode>General</c:formatCode>
                <c:ptCount val="20"/>
                <c:pt idx="0" formatCode="#,##0_);[Red]\(#,##0\)">
                  <c:v>5882719</c:v>
                </c:pt>
                <c:pt idx="2" formatCode="#,##0_);[Red]\(#,##0\)">
                  <c:v>5887580</c:v>
                </c:pt>
                <c:pt idx="4" formatCode="#,##0_);[Red]\(#,##0\)">
                  <c:v>6117785</c:v>
                </c:pt>
                <c:pt idx="6" formatCode="#,##0_);[Red]\(#,##0\)">
                  <c:v>6229012</c:v>
                </c:pt>
                <c:pt idx="8" formatCode="#,##0_);[Red]\(#,##0\)">
                  <c:v>6132539</c:v>
                </c:pt>
                <c:pt idx="10" formatCode="#,##0_);[Red]\(#,##0\)">
                  <c:v>5928326</c:v>
                </c:pt>
                <c:pt idx="12" formatCode="#,##0_);[Red]\(#,##0\)">
                  <c:v>5622679</c:v>
                </c:pt>
                <c:pt idx="14" formatCode="#,##0_);[Red]\(#,##0\)">
                  <c:v>5268160</c:v>
                </c:pt>
                <c:pt idx="16" formatCode="#,##0_);[Red]\(#,##0\)">
                  <c:v>5194439</c:v>
                </c:pt>
                <c:pt idx="18" formatCode="#,##0_);[Red]\(#,##0\)">
                  <c:v>5468499</c:v>
                </c:pt>
              </c:numCache>
            </c:numRef>
          </c:val>
          <c:extLst>
            <c:ext xmlns:c16="http://schemas.microsoft.com/office/drawing/2014/chart" uri="{C3380CC4-5D6E-409C-BE32-E72D297353CC}">
              <c16:uniqueId val="{00000003-6DFD-4036-9128-2E87FB5CCD70}"/>
            </c:ext>
          </c:extLst>
        </c:ser>
        <c:dLbls>
          <c:showLegendKey val="0"/>
          <c:showVal val="0"/>
          <c:showCatName val="0"/>
          <c:showSerName val="0"/>
          <c:showPercent val="0"/>
          <c:showBubbleSize val="0"/>
        </c:dLbls>
        <c:gapWidth val="0"/>
        <c:overlap val="100"/>
        <c:axId val="214933888"/>
        <c:axId val="214935424"/>
      </c:barChart>
      <c:catAx>
        <c:axId val="214933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214935424"/>
        <c:crosses val="autoZero"/>
        <c:auto val="1"/>
        <c:lblAlgn val="ctr"/>
        <c:lblOffset val="100"/>
        <c:tickLblSkip val="1"/>
        <c:tickMarkSkip val="1"/>
        <c:noMultiLvlLbl val="0"/>
      </c:catAx>
      <c:valAx>
        <c:axId val="214935424"/>
        <c:scaling>
          <c:orientation val="minMax"/>
          <c:max val="60000000"/>
        </c:scaling>
        <c:delete val="0"/>
        <c:axPos val="l"/>
        <c:title>
          <c:tx>
            <c:rich>
              <a:bodyPr rot="0" vert="horz"/>
              <a:lstStyle/>
              <a:p>
                <a:pPr algn="ct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億円</a:t>
                </a:r>
              </a:p>
            </c:rich>
          </c:tx>
          <c:layout>
            <c:manualLayout>
              <c:xMode val="edge"/>
              <c:yMode val="edge"/>
              <c:x val="0.10733695652173914"/>
              <c:y val="0.13559351691208088"/>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214933888"/>
        <c:crosses val="autoZero"/>
        <c:crossBetween val="between"/>
        <c:majorUnit val="10000000"/>
        <c:minorUnit val="2000000"/>
        <c:dispUnits>
          <c:builtInUnit val="hundredThousands"/>
        </c:dispUnits>
      </c:valAx>
      <c:spPr>
        <a:solidFill>
          <a:srgbClr val="FFFFFF"/>
        </a:solidFill>
        <a:ln w="25400">
          <a:noFill/>
        </a:ln>
      </c:spPr>
    </c:plotArea>
    <c:legend>
      <c:legendPos val="r"/>
      <c:layout>
        <c:manualLayout>
          <c:xMode val="edge"/>
          <c:yMode val="edge"/>
          <c:x val="0.81777078527246749"/>
          <c:y val="3.7404340169123959E-2"/>
          <c:w val="0.13132176506165599"/>
          <c:h val="0.24975970425138633"/>
        </c:manualLayout>
      </c:layout>
      <c:overlay val="0"/>
      <c:spPr>
        <a:solidFill>
          <a:srgbClr val="FFFFFF"/>
        </a:solidFill>
        <a:ln w="25400">
          <a:noFill/>
        </a:ln>
      </c:spPr>
      <c:txPr>
        <a:bodyPr/>
        <a:lstStyle/>
        <a:p>
          <a:pPr>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ＭＳ Ｐゴシック"/>
                <a:ea typeface="ＭＳ Ｐゴシック"/>
                <a:cs typeface="ＭＳ Ｐゴシック"/>
              </a:defRPr>
            </a:pPr>
            <a:r>
              <a:rPr lang="ja-JP" altLang="en-US">
                <a:latin typeface="BIZ UDゴシック" panose="020B0400000000000000" pitchFamily="49" charset="-128"/>
                <a:ea typeface="BIZ UDゴシック" panose="020B0400000000000000" pitchFamily="49" charset="-128"/>
              </a:rPr>
              <a:t>一般会計現在高推移</a:t>
            </a:r>
          </a:p>
        </c:rich>
      </c:tx>
      <c:layout>
        <c:manualLayout>
          <c:xMode val="edge"/>
          <c:yMode val="edge"/>
          <c:x val="0.37415008838180941"/>
          <c:y val="3.39943342776204E-2"/>
        </c:manualLayout>
      </c:layout>
      <c:overlay val="0"/>
      <c:spPr>
        <a:noFill/>
        <a:ln w="25400">
          <a:noFill/>
        </a:ln>
      </c:spPr>
    </c:title>
    <c:autoTitleDeleted val="0"/>
    <c:plotArea>
      <c:layout>
        <c:manualLayout>
          <c:layoutTarget val="inner"/>
          <c:xMode val="edge"/>
          <c:yMode val="edge"/>
          <c:x val="0.16734716112239734"/>
          <c:y val="0.21813031161473087"/>
          <c:w val="0.80680379305350902"/>
          <c:h val="0.62889518413597734"/>
        </c:manualLayout>
      </c:layout>
      <c:barChart>
        <c:barDir val="col"/>
        <c:grouping val="stacked"/>
        <c:varyColors val="0"/>
        <c:ser>
          <c:idx val="3"/>
          <c:order val="0"/>
          <c:tx>
            <c:strRef>
              <c:f>市債G!$A$35:$D$35</c:f>
              <c:strCache>
                <c:ptCount val="4"/>
                <c:pt idx="0">
                  <c:v>通常債</c:v>
                </c:pt>
              </c:strCache>
            </c:strRef>
          </c:tx>
          <c:spPr>
            <a:gradFill rotWithShape="0">
              <a:gsLst>
                <a:gs pos="0">
                  <a:srgbClr xmlns:mc="http://schemas.openxmlformats.org/markup-compatibility/2006" xmlns:a14="http://schemas.microsoft.com/office/drawing/2010/main" val="000080" mc:Ignorable="a14" a14:legacySpreadsheetColorIndex="18"/>
                </a:gs>
                <a:gs pos="100000">
                  <a:srgbClr xmlns:mc="http://schemas.openxmlformats.org/markup-compatibility/2006" xmlns:a14="http://schemas.microsoft.com/office/drawing/2010/main" val="242492" mc:Ignorable="a14" a14:legacySpreadsheetColorIndex="18">
                    <a:gamma/>
                    <a:tint val="85882"/>
                    <a:invGamma/>
                  </a:srgbClr>
                </a:gs>
              </a:gsLst>
              <a:lin ang="0" scaled="1"/>
            </a:gradFill>
            <a:ln w="12700">
              <a:solidFill>
                <a:srgbClr val="000000"/>
              </a:solidFill>
              <a:prstDash val="solid"/>
            </a:ln>
          </c:spPr>
          <c:invertIfNegative val="0"/>
          <c:cat>
            <c:strRef>
              <c:f>市債G!$E$28:$X$28</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市債G!$E$35:$X$35</c:f>
              <c:numCache>
                <c:formatCode>#,##0_);[Red]\(#,##0\)</c:formatCode>
                <c:ptCount val="20"/>
                <c:pt idx="0">
                  <c:v>28132245</c:v>
                </c:pt>
                <c:pt idx="2">
                  <c:v>26554209</c:v>
                </c:pt>
                <c:pt idx="4">
                  <c:v>27965187</c:v>
                </c:pt>
                <c:pt idx="6">
                  <c:v>26090175</c:v>
                </c:pt>
                <c:pt idx="8">
                  <c:v>25608165</c:v>
                </c:pt>
                <c:pt idx="10">
                  <c:v>30701223</c:v>
                </c:pt>
                <c:pt idx="12">
                  <c:v>30622500</c:v>
                </c:pt>
                <c:pt idx="14">
                  <c:v>30219088</c:v>
                </c:pt>
                <c:pt idx="16">
                  <c:v>32880153</c:v>
                </c:pt>
                <c:pt idx="18">
                  <c:v>37164152</c:v>
                </c:pt>
              </c:numCache>
            </c:numRef>
          </c:val>
          <c:extLst>
            <c:ext xmlns:c16="http://schemas.microsoft.com/office/drawing/2014/chart" uri="{C3380CC4-5D6E-409C-BE32-E72D297353CC}">
              <c16:uniqueId val="{00000000-AA72-4533-9F6D-D7039F2FB037}"/>
            </c:ext>
          </c:extLst>
        </c:ser>
        <c:ser>
          <c:idx val="1"/>
          <c:order val="1"/>
          <c:tx>
            <c:strRef>
              <c:f>市債G!$A$34:$D$34</c:f>
              <c:strCache>
                <c:ptCount val="4"/>
                <c:pt idx="0">
                  <c:v>特別減収対策債</c:v>
                </c:pt>
              </c:strCache>
            </c:strRef>
          </c:tx>
          <c:spPr>
            <a:gradFill rotWithShape="0">
              <a:gsLst>
                <a:gs pos="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5D86FF" mc:Ignorable="a14" a14:legacySpreadsheetColorIndex="48">
                    <a:gamma/>
                    <a:tint val="79216"/>
                    <a:invGamma/>
                  </a:srgbClr>
                </a:gs>
              </a:gsLst>
              <a:lin ang="0" scaled="1"/>
            </a:gradFill>
            <a:ln w="12700">
              <a:solidFill>
                <a:srgbClr val="000000"/>
              </a:solidFill>
              <a:prstDash val="solid"/>
            </a:ln>
          </c:spPr>
          <c:invertIfNegative val="0"/>
          <c:cat>
            <c:strRef>
              <c:f>市債G!$E$28:$X$28</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市債G!$E$34:$X$34</c:f>
              <c:numCache>
                <c:formatCode>#,##0_);[Red]\(#,##0\)</c:formatCode>
                <c:ptCount val="20"/>
                <c:pt idx="0">
                  <c:v>0</c:v>
                </c:pt>
                <c:pt idx="2">
                  <c:v>0</c:v>
                </c:pt>
                <c:pt idx="4">
                  <c:v>0</c:v>
                </c:pt>
                <c:pt idx="6">
                  <c:v>0</c:v>
                </c:pt>
                <c:pt idx="8">
                  <c:v>0</c:v>
                </c:pt>
                <c:pt idx="10">
                  <c:v>273100</c:v>
                </c:pt>
                <c:pt idx="12">
                  <c:v>273100</c:v>
                </c:pt>
                <c:pt idx="14">
                  <c:v>273100</c:v>
                </c:pt>
                <c:pt idx="16">
                  <c:v>273100</c:v>
                </c:pt>
                <c:pt idx="18">
                  <c:v>257040</c:v>
                </c:pt>
              </c:numCache>
            </c:numRef>
          </c:val>
          <c:extLst>
            <c:ext xmlns:c16="http://schemas.microsoft.com/office/drawing/2014/chart" uri="{C3380CC4-5D6E-409C-BE32-E72D297353CC}">
              <c16:uniqueId val="{00000001-AA72-4533-9F6D-D7039F2FB037}"/>
            </c:ext>
          </c:extLst>
        </c:ser>
        <c:ser>
          <c:idx val="2"/>
          <c:order val="2"/>
          <c:tx>
            <c:strRef>
              <c:f>市債G!$A$31:$D$31</c:f>
              <c:strCache>
                <c:ptCount val="4"/>
                <c:pt idx="0">
                  <c:v>臨時税収補てん債</c:v>
                </c:pt>
              </c:strCache>
            </c:strRef>
          </c:tx>
          <c:spPr>
            <a:gradFill rotWithShape="0">
              <a:gsLst>
                <a:gs pos="0">
                  <a:srgbClr xmlns:mc="http://schemas.openxmlformats.org/markup-compatibility/2006" xmlns:a14="http://schemas.microsoft.com/office/drawing/2010/main" val="993366" mc:Ignorable="a14" a14:legacySpreadsheetColorIndex="61"/>
                </a:gs>
                <a:gs pos="100000">
                  <a:srgbClr xmlns:mc="http://schemas.openxmlformats.org/markup-compatibility/2006" xmlns:a14="http://schemas.microsoft.com/office/drawing/2010/main" val="BE7D9E" mc:Ignorable="a14" a14:legacySpreadsheetColorIndex="61">
                    <a:gamma/>
                    <a:tint val="63529"/>
                    <a:invGamma/>
                  </a:srgbClr>
                </a:gs>
              </a:gsLst>
              <a:lin ang="0" scaled="1"/>
            </a:gradFill>
            <a:ln w="12700">
              <a:solidFill>
                <a:srgbClr val="000000"/>
              </a:solidFill>
              <a:prstDash val="solid"/>
            </a:ln>
          </c:spPr>
          <c:invertIfNegative val="0"/>
          <c:cat>
            <c:strRef>
              <c:f>市債G!$E$28:$X$28</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市債G!$E$31:$X$31</c:f>
              <c:numCache>
                <c:formatCode>#,##0_);[Red]\(#,##0\)</c:formatCode>
                <c:ptCount val="20"/>
                <c:pt idx="0">
                  <c:v>211177</c:v>
                </c:pt>
                <c:pt idx="2">
                  <c:v>106685</c:v>
                </c:pt>
                <c:pt idx="4">
                  <c:v>0</c:v>
                </c:pt>
                <c:pt idx="6">
                  <c:v>0</c:v>
                </c:pt>
                <c:pt idx="8">
                  <c:v>0</c:v>
                </c:pt>
                <c:pt idx="10">
                  <c:v>0</c:v>
                </c:pt>
                <c:pt idx="12">
                  <c:v>0</c:v>
                </c:pt>
                <c:pt idx="14">
                  <c:v>0</c:v>
                </c:pt>
                <c:pt idx="16">
                  <c:v>0</c:v>
                </c:pt>
                <c:pt idx="18">
                  <c:v>0</c:v>
                </c:pt>
              </c:numCache>
            </c:numRef>
          </c:val>
          <c:extLst>
            <c:ext xmlns:c16="http://schemas.microsoft.com/office/drawing/2014/chart" uri="{C3380CC4-5D6E-409C-BE32-E72D297353CC}">
              <c16:uniqueId val="{00000002-AA72-4533-9F6D-D7039F2FB037}"/>
            </c:ext>
          </c:extLst>
        </c:ser>
        <c:ser>
          <c:idx val="0"/>
          <c:order val="3"/>
          <c:tx>
            <c:strRef>
              <c:f>市債G!$A$30:$D$30</c:f>
              <c:strCache>
                <c:ptCount val="4"/>
                <c:pt idx="0">
                  <c:v>臨時財政対策債</c:v>
                </c:pt>
              </c:strCache>
            </c:strRef>
          </c:tx>
          <c:spPr>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DFEFFF" mc:Ignorable="a14" a14:legacySpreadsheetColorIndex="44">
                    <a:gamma/>
                    <a:tint val="31765"/>
                    <a:invGamma/>
                  </a:srgbClr>
                </a:gs>
              </a:gsLst>
              <a:lin ang="0" scaled="1"/>
            </a:gradFill>
            <a:ln w="12700">
              <a:solidFill>
                <a:srgbClr val="000000"/>
              </a:solidFill>
              <a:prstDash val="solid"/>
            </a:ln>
          </c:spPr>
          <c:invertIfNegative val="0"/>
          <c:cat>
            <c:strRef>
              <c:f>市債G!$E$28:$X$28</c:f>
              <c:strCache>
                <c:ptCount val="19"/>
                <c:pt idx="0">
                  <c:v>Ｈ27年度</c:v>
                </c:pt>
                <c:pt idx="2">
                  <c:v>Ｈ28年度</c:v>
                </c:pt>
                <c:pt idx="4">
                  <c:v>Ｈ29年度</c:v>
                </c:pt>
                <c:pt idx="6">
                  <c:v>Ｈ30年度</c:v>
                </c:pt>
                <c:pt idx="8">
                  <c:v>Ｒ１年度</c:v>
                </c:pt>
                <c:pt idx="10">
                  <c:v>Ｒ２年度</c:v>
                </c:pt>
                <c:pt idx="12">
                  <c:v>Ｒ３年度</c:v>
                </c:pt>
                <c:pt idx="14">
                  <c:v>Ｒ４年度</c:v>
                </c:pt>
                <c:pt idx="16">
                  <c:v>Ｒ５年度</c:v>
                </c:pt>
                <c:pt idx="18">
                  <c:v>Ｒ６年度</c:v>
                </c:pt>
              </c:strCache>
            </c:strRef>
          </c:cat>
          <c:val>
            <c:numRef>
              <c:f>市債G!$E$30:$X$30</c:f>
              <c:numCache>
                <c:formatCode>#,##0_);[Red]\(#,##0\)</c:formatCode>
                <c:ptCount val="20"/>
                <c:pt idx="0">
                  <c:v>38499881</c:v>
                </c:pt>
                <c:pt idx="2">
                  <c:v>40127583</c:v>
                </c:pt>
                <c:pt idx="4">
                  <c:v>41605710</c:v>
                </c:pt>
                <c:pt idx="6">
                  <c:v>43038565</c:v>
                </c:pt>
                <c:pt idx="8">
                  <c:v>43737542</c:v>
                </c:pt>
                <c:pt idx="10">
                  <c:v>43966765</c:v>
                </c:pt>
                <c:pt idx="12">
                  <c:v>46688825</c:v>
                </c:pt>
                <c:pt idx="14">
                  <c:v>45293456</c:v>
                </c:pt>
                <c:pt idx="16">
                  <c:v>42870795</c:v>
                </c:pt>
                <c:pt idx="18">
                  <c:v>40512432</c:v>
                </c:pt>
              </c:numCache>
            </c:numRef>
          </c:val>
          <c:extLst>
            <c:ext xmlns:c16="http://schemas.microsoft.com/office/drawing/2014/chart" uri="{C3380CC4-5D6E-409C-BE32-E72D297353CC}">
              <c16:uniqueId val="{00000003-AA72-4533-9F6D-D7039F2FB037}"/>
            </c:ext>
          </c:extLst>
        </c:ser>
        <c:dLbls>
          <c:showLegendKey val="0"/>
          <c:showVal val="0"/>
          <c:showCatName val="0"/>
          <c:showSerName val="0"/>
          <c:showPercent val="0"/>
          <c:showBubbleSize val="0"/>
        </c:dLbls>
        <c:gapWidth val="0"/>
        <c:overlap val="100"/>
        <c:axId val="215599360"/>
        <c:axId val="216076288"/>
      </c:barChart>
      <c:catAx>
        <c:axId val="2155993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216076288"/>
        <c:crossesAt val="0"/>
        <c:auto val="1"/>
        <c:lblAlgn val="ctr"/>
        <c:lblOffset val="100"/>
        <c:tickLblSkip val="1"/>
        <c:tickMarkSkip val="1"/>
        <c:noMultiLvlLbl val="0"/>
      </c:catAx>
      <c:valAx>
        <c:axId val="216076288"/>
        <c:scaling>
          <c:orientation val="minMax"/>
          <c:max val="80000000"/>
        </c:scaling>
        <c:delete val="0"/>
        <c:axPos val="l"/>
        <c:title>
          <c:tx>
            <c:rich>
              <a:bodyPr rot="0" vert="horz"/>
              <a:lstStyle/>
              <a:p>
                <a:pPr algn="ct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億円</a:t>
                </a:r>
              </a:p>
            </c:rich>
          </c:tx>
          <c:layout>
            <c:manualLayout>
              <c:xMode val="edge"/>
              <c:yMode val="edge"/>
              <c:x val="0.11156476868962807"/>
              <c:y val="0.12181303116147309"/>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215599360"/>
        <c:crosses val="autoZero"/>
        <c:crossBetween val="between"/>
        <c:majorUnit val="10000000"/>
        <c:minorUnit val="2000000"/>
        <c:dispUnits>
          <c:builtInUnit val="hundredThousands"/>
        </c:dispUnits>
      </c:valAx>
      <c:spPr>
        <a:solidFill>
          <a:srgbClr val="FFFFFF"/>
        </a:solidFill>
        <a:ln w="25400">
          <a:noFill/>
        </a:ln>
      </c:spPr>
    </c:plotArea>
    <c:legend>
      <c:legendPos val="r"/>
      <c:layout>
        <c:manualLayout>
          <c:xMode val="edge"/>
          <c:yMode val="edge"/>
          <c:x val="0.6851153959483971"/>
          <c:y val="0"/>
          <c:w val="0.18165940556506596"/>
          <c:h val="0.22705746321884401"/>
        </c:manualLayout>
      </c:layout>
      <c:overlay val="0"/>
      <c:spPr>
        <a:noFill/>
        <a:ln w="25400">
          <a:noFill/>
        </a:ln>
      </c:spPr>
      <c:txPr>
        <a:bodyPr/>
        <a:lstStyle/>
        <a:p>
          <a:pPr>
            <a:defRPr sz="105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FFFFFF"/>
          </a:solidFill>
          <a:prstDash val="solid"/>
        </a:ln>
      </c:spPr>
    </c:sideWall>
    <c:backWall>
      <c:thickness val="0"/>
      <c:spPr>
        <a:noFill/>
        <a:ln w="12700">
          <a:solidFill>
            <a:srgbClr val="FFFFFF"/>
          </a:solidFill>
          <a:prstDash val="solid"/>
        </a:ln>
      </c:spPr>
    </c:backWall>
    <c:plotArea>
      <c:layout/>
      <c:bar3DChart>
        <c:barDir val="bar"/>
        <c:grouping val="stack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r">
                  <a:defRPr sz="375" b="1" i="0" u="none" strike="noStrike" baseline="0">
                    <a:solidFill>
                      <a:srgbClr val="000000"/>
                    </a:solidFill>
                    <a:latin typeface="ＭＳ Ｐゴシック"/>
                    <a:ea typeface="ＭＳ Ｐゴシック"/>
                    <a:cs typeface="ＭＳ Ｐゴシック"/>
                  </a:defRPr>
                </a:pPr>
                <a:endParaRPr lang="ja-JP"/>
              </a:p>
            </c:txPr>
            <c:showLegendKey val="1"/>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(グラフデータ!$S$27,グラフデータ!$U$27)</c:f>
            </c:numRef>
          </c:val>
          <c:extLst>
            <c:ext xmlns:c16="http://schemas.microsoft.com/office/drawing/2014/chart" uri="{C3380CC4-5D6E-409C-BE32-E72D297353CC}">
              <c16:uniqueId val="{00000000-F8E2-4306-863B-6E0905B47E73}"/>
            </c:ext>
          </c:extLst>
        </c:ser>
        <c:dLbls>
          <c:showLegendKey val="0"/>
          <c:showVal val="0"/>
          <c:showCatName val="0"/>
          <c:showSerName val="0"/>
          <c:showPercent val="0"/>
          <c:showBubbleSize val="0"/>
        </c:dLbls>
        <c:gapWidth val="150"/>
        <c:shape val="cylinder"/>
        <c:axId val="214835968"/>
        <c:axId val="214837504"/>
        <c:axId val="0"/>
      </c:bar3DChart>
      <c:catAx>
        <c:axId val="214835968"/>
        <c:scaling>
          <c:orientation val="minMax"/>
        </c:scaling>
        <c:delete val="1"/>
        <c:axPos val="l"/>
        <c:majorTickMark val="out"/>
        <c:minorTickMark val="none"/>
        <c:tickLblPos val="nextTo"/>
        <c:crossAx val="214837504"/>
        <c:crossesAt val="128000000"/>
        <c:auto val="0"/>
        <c:lblAlgn val="ctr"/>
        <c:lblOffset val="100"/>
        <c:noMultiLvlLbl val="0"/>
      </c:catAx>
      <c:valAx>
        <c:axId val="214837504"/>
        <c:scaling>
          <c:orientation val="minMax"/>
          <c:max val="100000000"/>
          <c:min val="0"/>
        </c:scaling>
        <c:delete val="0"/>
        <c:axPos val="b"/>
        <c:majorGridlines>
          <c:spPr>
            <a:ln w="3175">
              <a:solidFill>
                <a:srgbClr val="FFFFFF"/>
              </a:solidFill>
              <a:prstDash val="solid"/>
            </a:ln>
          </c:spPr>
        </c:majorGridlines>
        <c:numFmt formatCode="#,##0;&quot;△ &quot;#,##0" sourceLinked="1"/>
        <c:majorTickMark val="in"/>
        <c:minorTickMark val="in"/>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214835968"/>
        <c:crosses val="autoZero"/>
        <c:crossBetween val="between"/>
        <c:majorUnit val="50000000"/>
        <c:minorUnit val="10000000"/>
      </c:valAx>
      <c:spPr>
        <a:noFill/>
        <a:ln w="25400">
          <a:noFill/>
        </a:ln>
      </c:spPr>
    </c:plotArea>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200025</xdr:rowOff>
    </xdr:from>
    <xdr:to>
      <xdr:col>6</xdr:col>
      <xdr:colOff>523875</xdr:colOff>
      <xdr:row>10</xdr:row>
      <xdr:rowOff>0</xdr:rowOff>
    </xdr:to>
    <xdr:sp macro="" textlink="">
      <xdr:nvSpPr>
        <xdr:cNvPr id="15406" name="Rectangle 4"/>
        <xdr:cNvSpPr>
          <a:spLocks noChangeArrowheads="1"/>
        </xdr:cNvSpPr>
      </xdr:nvSpPr>
      <xdr:spPr bwMode="auto">
        <a:xfrm>
          <a:off x="2000250" y="3514725"/>
          <a:ext cx="47529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1133476</xdr:colOff>
          <xdr:row>18</xdr:row>
          <xdr:rowOff>16253</xdr:rowOff>
        </xdr:from>
        <xdr:to>
          <xdr:col>6</xdr:col>
          <xdr:colOff>790575</xdr:colOff>
          <xdr:row>29</xdr:row>
          <xdr:rowOff>19051</xdr:rowOff>
        </xdr:to>
        <xdr:pic>
          <xdr:nvPicPr>
            <xdr:cNvPr id="4" name="図 3"/>
            <xdr:cNvPicPr>
              <a:picLocks noChangeAspect="1" noChangeArrowheads="1"/>
              <a:extLst>
                <a:ext uri="{84589F7E-364E-4C9E-8A38-B11213B215E9}">
                  <a14:cameraTool cellRange="$N$21:$P$34" spid="_x0000_s174074"/>
                </a:ext>
              </a:extLst>
            </xdr:cNvPicPr>
          </xdr:nvPicPr>
          <xdr:blipFill>
            <a:blip xmlns:r="http://schemas.openxmlformats.org/officeDocument/2006/relationships" r:embed="rId1"/>
            <a:srcRect/>
            <a:stretch>
              <a:fillRect/>
            </a:stretch>
          </xdr:blipFill>
          <xdr:spPr bwMode="auto">
            <a:xfrm>
              <a:off x="4743451" y="7541003"/>
              <a:ext cx="2266949" cy="2307848"/>
            </a:xfrm>
            <a:prstGeom prst="rect">
              <a:avLst/>
            </a:prstGeom>
            <a:noFill/>
            <a:ln w="9525">
              <a:noFill/>
              <a:miter lim="800000"/>
              <a:headEnd/>
              <a:tailEnd/>
            </a:ln>
          </xdr:spPr>
        </xdr:pic>
        <xdr:clientData/>
      </xdr:twoCellAnchor>
    </mc:Choice>
    <mc:Fallback/>
  </mc:AlternateContent>
  <xdr:twoCellAnchor>
    <xdr:from>
      <xdr:col>8</xdr:col>
      <xdr:colOff>95250</xdr:colOff>
      <xdr:row>24</xdr:row>
      <xdr:rowOff>28575</xdr:rowOff>
    </xdr:from>
    <xdr:to>
      <xdr:col>11</xdr:col>
      <xdr:colOff>542925</xdr:colOff>
      <xdr:row>28</xdr:row>
      <xdr:rowOff>152400</xdr:rowOff>
    </xdr:to>
    <xdr:sp macro="" textlink="">
      <xdr:nvSpPr>
        <xdr:cNvPr id="2" name="左矢印 1"/>
        <xdr:cNvSpPr/>
      </xdr:nvSpPr>
      <xdr:spPr bwMode="auto">
        <a:xfrm>
          <a:off x="7305675" y="9067800"/>
          <a:ext cx="2276475" cy="1000125"/>
        </a:xfrm>
        <a:prstGeom prst="leftArrow">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a:t>これのデータです。</a:t>
          </a:r>
        </a:p>
      </xdr:txBody>
    </xdr:sp>
    <xdr:clientData/>
  </xdr:twoCellAnchor>
  <xdr:twoCellAnchor>
    <xdr:from>
      <xdr:col>2</xdr:col>
      <xdr:colOff>0</xdr:colOff>
      <xdr:row>10</xdr:row>
      <xdr:rowOff>200025</xdr:rowOff>
    </xdr:from>
    <xdr:to>
      <xdr:col>6</xdr:col>
      <xdr:colOff>523875</xdr:colOff>
      <xdr:row>11</xdr:row>
      <xdr:rowOff>0</xdr:rowOff>
    </xdr:to>
    <xdr:sp macro="" textlink="">
      <xdr:nvSpPr>
        <xdr:cNvPr id="7" name="Rectangle 4"/>
        <xdr:cNvSpPr>
          <a:spLocks noChangeArrowheads="1"/>
        </xdr:cNvSpPr>
      </xdr:nvSpPr>
      <xdr:spPr bwMode="auto">
        <a:xfrm>
          <a:off x="1822174" y="3502025"/>
          <a:ext cx="4389092" cy="2196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sp>
    <xdr:clientData/>
  </xdr:twoCellAnchor>
  <xdr:twoCellAnchor>
    <xdr:from>
      <xdr:col>8</xdr:col>
      <xdr:colOff>446943</xdr:colOff>
      <xdr:row>5</xdr:row>
      <xdr:rowOff>381000</xdr:rowOff>
    </xdr:from>
    <xdr:to>
      <xdr:col>11</xdr:col>
      <xdr:colOff>190500</xdr:colOff>
      <xdr:row>8</xdr:row>
      <xdr:rowOff>241788</xdr:rowOff>
    </xdr:to>
    <xdr:sp macro="" textlink="">
      <xdr:nvSpPr>
        <xdr:cNvPr id="3" name="テキスト ボックス 2"/>
        <xdr:cNvSpPr txBox="1"/>
      </xdr:nvSpPr>
      <xdr:spPr>
        <a:xfrm>
          <a:off x="7663962" y="2029558"/>
          <a:ext cx="1978269" cy="11136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コメントは昨年度のまま青字にしていますので、修正後は、赤字にしてください。</a:t>
          </a:r>
          <a:endParaRPr kumimoji="1" lang="en-US" altLang="ja-JP" sz="1100"/>
        </a:p>
        <a:p>
          <a:r>
            <a:rPr kumimoji="1" lang="ja-JP" altLang="en-US" sz="1100"/>
            <a:t>（数値は、概要担当で入力します。）</a:t>
          </a: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29</xdr:row>
          <xdr:rowOff>114301</xdr:rowOff>
        </xdr:from>
        <xdr:to>
          <xdr:col>6</xdr:col>
          <xdr:colOff>352424</xdr:colOff>
          <xdr:row>33</xdr:row>
          <xdr:rowOff>80476</xdr:rowOff>
        </xdr:to>
        <xdr:pic>
          <xdr:nvPicPr>
            <xdr:cNvPr id="16" name="図 15"/>
            <xdr:cNvPicPr>
              <a:picLocks noChangeAspect="1" noChangeArrowheads="1"/>
              <a:extLst>
                <a:ext uri="{84589F7E-364E-4C9E-8A38-B11213B215E9}">
                  <a14:cameraTool cellRange="$Q$38:$Z$41" spid="_x0000_s174075"/>
                </a:ext>
              </a:extLst>
            </xdr:cNvPicPr>
          </xdr:nvPicPr>
          <xdr:blipFill>
            <a:blip xmlns:r="http://schemas.openxmlformats.org/officeDocument/2006/relationships" r:embed="rId2"/>
            <a:srcRect/>
            <a:stretch>
              <a:fillRect/>
            </a:stretch>
          </xdr:blipFill>
          <xdr:spPr bwMode="auto">
            <a:xfrm>
              <a:off x="209550" y="9944101"/>
              <a:ext cx="6362699" cy="8043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49396</xdr:colOff>
      <xdr:row>34</xdr:row>
      <xdr:rowOff>60691</xdr:rowOff>
    </xdr:from>
    <xdr:to>
      <xdr:col>15</xdr:col>
      <xdr:colOff>1101068</xdr:colOff>
      <xdr:row>37</xdr:row>
      <xdr:rowOff>114586</xdr:rowOff>
    </xdr:to>
    <xdr:sp macro="" textlink="">
      <xdr:nvSpPr>
        <xdr:cNvPr id="17" name="左矢印 16"/>
        <xdr:cNvSpPr/>
      </xdr:nvSpPr>
      <xdr:spPr bwMode="auto">
        <a:xfrm rot="696547">
          <a:off x="7097896" y="10538191"/>
          <a:ext cx="6508937" cy="692630"/>
        </a:xfrm>
        <a:prstGeom prst="leftArrow">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a:t>これのデータです。</a:t>
          </a:r>
        </a:p>
      </xdr:txBody>
    </xdr:sp>
    <xdr:clientData/>
  </xdr:twoCellAnchor>
  <xdr:twoCellAnchor editAs="oneCell">
    <xdr:from>
      <xdr:col>0</xdr:col>
      <xdr:colOff>201706</xdr:colOff>
      <xdr:row>17</xdr:row>
      <xdr:rowOff>403413</xdr:rowOff>
    </xdr:from>
    <xdr:to>
      <xdr:col>4</xdr:col>
      <xdr:colOff>874059</xdr:colOff>
      <xdr:row>29</xdr:row>
      <xdr:rowOff>11206</xdr:rowOff>
    </xdr:to>
    <xdr:pic>
      <xdr:nvPicPr>
        <xdr:cNvPr id="12" name="図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1706" y="7037295"/>
          <a:ext cx="4269441" cy="2386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866775</xdr:colOff>
      <xdr:row>0</xdr:row>
      <xdr:rowOff>0</xdr:rowOff>
    </xdr:from>
    <xdr:to>
      <xdr:col>2</xdr:col>
      <xdr:colOff>276225</xdr:colOff>
      <xdr:row>0</xdr:row>
      <xdr:rowOff>0</xdr:rowOff>
    </xdr:to>
    <xdr:sp macro="" textlink="">
      <xdr:nvSpPr>
        <xdr:cNvPr id="33794" name="Rectangle 2"/>
        <xdr:cNvSpPr>
          <a:spLocks noChangeArrowheads="1"/>
        </xdr:cNvSpPr>
      </xdr:nvSpPr>
      <xdr:spPr bwMode="auto">
        <a:xfrm>
          <a:off x="8286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7</xdr:col>
      <xdr:colOff>352425</xdr:colOff>
      <xdr:row>0</xdr:row>
      <xdr:rowOff>0</xdr:rowOff>
    </xdr:from>
    <xdr:to>
      <xdr:col>7</xdr:col>
      <xdr:colOff>276225</xdr:colOff>
      <xdr:row>0</xdr:row>
      <xdr:rowOff>0</xdr:rowOff>
    </xdr:to>
    <xdr:sp macro="" textlink="">
      <xdr:nvSpPr>
        <xdr:cNvPr id="33795" name="Rectangle 3"/>
        <xdr:cNvSpPr>
          <a:spLocks noChangeArrowheads="1"/>
        </xdr:cNvSpPr>
      </xdr:nvSpPr>
      <xdr:spPr bwMode="auto">
        <a:xfrm>
          <a:off x="22098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8</xdr:col>
      <xdr:colOff>866775</xdr:colOff>
      <xdr:row>0</xdr:row>
      <xdr:rowOff>0</xdr:rowOff>
    </xdr:from>
    <xdr:to>
      <xdr:col>8</xdr:col>
      <xdr:colOff>276225</xdr:colOff>
      <xdr:row>0</xdr:row>
      <xdr:rowOff>0</xdr:rowOff>
    </xdr:to>
    <xdr:sp macro="" textlink="">
      <xdr:nvSpPr>
        <xdr:cNvPr id="33796" name="Rectangle 4"/>
        <xdr:cNvSpPr>
          <a:spLocks noChangeArrowheads="1"/>
        </xdr:cNvSpPr>
      </xdr:nvSpPr>
      <xdr:spPr bwMode="auto">
        <a:xfrm>
          <a:off x="24860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13</xdr:col>
      <xdr:colOff>352425</xdr:colOff>
      <xdr:row>0</xdr:row>
      <xdr:rowOff>0</xdr:rowOff>
    </xdr:from>
    <xdr:to>
      <xdr:col>13</xdr:col>
      <xdr:colOff>276225</xdr:colOff>
      <xdr:row>0</xdr:row>
      <xdr:rowOff>0</xdr:rowOff>
    </xdr:to>
    <xdr:sp macro="" textlink="">
      <xdr:nvSpPr>
        <xdr:cNvPr id="33797" name="Rectangle 5"/>
        <xdr:cNvSpPr>
          <a:spLocks noChangeArrowheads="1"/>
        </xdr:cNvSpPr>
      </xdr:nvSpPr>
      <xdr:spPr bwMode="auto">
        <a:xfrm>
          <a:off x="38671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14</xdr:col>
      <xdr:colOff>885825</xdr:colOff>
      <xdr:row>0</xdr:row>
      <xdr:rowOff>0</xdr:rowOff>
    </xdr:from>
    <xdr:to>
      <xdr:col>14</xdr:col>
      <xdr:colOff>276225</xdr:colOff>
      <xdr:row>0</xdr:row>
      <xdr:rowOff>0</xdr:rowOff>
    </xdr:to>
    <xdr:sp macro="" textlink="">
      <xdr:nvSpPr>
        <xdr:cNvPr id="33798" name="Rectangle 6"/>
        <xdr:cNvSpPr>
          <a:spLocks noChangeArrowheads="1"/>
        </xdr:cNvSpPr>
      </xdr:nvSpPr>
      <xdr:spPr bwMode="auto">
        <a:xfrm>
          <a:off x="41433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15</xdr:col>
      <xdr:colOff>342900</xdr:colOff>
      <xdr:row>0</xdr:row>
      <xdr:rowOff>0</xdr:rowOff>
    </xdr:from>
    <xdr:to>
      <xdr:col>15</xdr:col>
      <xdr:colOff>276225</xdr:colOff>
      <xdr:row>0</xdr:row>
      <xdr:rowOff>0</xdr:rowOff>
    </xdr:to>
    <xdr:sp macro="" textlink="">
      <xdr:nvSpPr>
        <xdr:cNvPr id="33799" name="Rectangle 7"/>
        <xdr:cNvSpPr>
          <a:spLocks noChangeArrowheads="1"/>
        </xdr:cNvSpPr>
      </xdr:nvSpPr>
      <xdr:spPr bwMode="auto">
        <a:xfrm>
          <a:off x="44196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13</xdr:col>
      <xdr:colOff>352425</xdr:colOff>
      <xdr:row>0</xdr:row>
      <xdr:rowOff>0</xdr:rowOff>
    </xdr:from>
    <xdr:to>
      <xdr:col>13</xdr:col>
      <xdr:colOff>276225</xdr:colOff>
      <xdr:row>0</xdr:row>
      <xdr:rowOff>0</xdr:rowOff>
    </xdr:to>
    <xdr:sp macro="" textlink="">
      <xdr:nvSpPr>
        <xdr:cNvPr id="33800" name="Rectangle 8"/>
        <xdr:cNvSpPr>
          <a:spLocks noChangeArrowheads="1"/>
        </xdr:cNvSpPr>
      </xdr:nvSpPr>
      <xdr:spPr bwMode="auto">
        <a:xfrm>
          <a:off x="38671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14</xdr:col>
      <xdr:colOff>866775</xdr:colOff>
      <xdr:row>0</xdr:row>
      <xdr:rowOff>0</xdr:rowOff>
    </xdr:from>
    <xdr:to>
      <xdr:col>14</xdr:col>
      <xdr:colOff>276225</xdr:colOff>
      <xdr:row>0</xdr:row>
      <xdr:rowOff>0</xdr:rowOff>
    </xdr:to>
    <xdr:sp macro="" textlink="">
      <xdr:nvSpPr>
        <xdr:cNvPr id="33801" name="Rectangle 9"/>
        <xdr:cNvSpPr>
          <a:spLocks noChangeArrowheads="1"/>
        </xdr:cNvSpPr>
      </xdr:nvSpPr>
      <xdr:spPr bwMode="auto">
        <a:xfrm>
          <a:off x="41433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15</xdr:col>
      <xdr:colOff>11206</xdr:colOff>
      <xdr:row>7</xdr:row>
      <xdr:rowOff>152400</xdr:rowOff>
    </xdr:from>
    <xdr:to>
      <xdr:col>18</xdr:col>
      <xdr:colOff>9525</xdr:colOff>
      <xdr:row>10</xdr:row>
      <xdr:rowOff>56030</xdr:rowOff>
    </xdr:to>
    <xdr:cxnSp macro="">
      <xdr:nvCxnSpPr>
        <xdr:cNvPr id="33957" name="AutoShape 11"/>
        <xdr:cNvCxnSpPr>
          <a:cxnSpLocks noChangeShapeType="1"/>
        </xdr:cNvCxnSpPr>
      </xdr:nvCxnSpPr>
      <xdr:spPr bwMode="auto">
        <a:xfrm flipV="1">
          <a:off x="4213412" y="1732429"/>
          <a:ext cx="838760" cy="575983"/>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182880</xdr:rowOff>
    </xdr:from>
    <xdr:to>
      <xdr:col>26</xdr:col>
      <xdr:colOff>137160</xdr:colOff>
      <xdr:row>47</xdr:row>
      <xdr:rowOff>154306</xdr:rowOff>
    </xdr:to>
    <xdr:graphicFrame macro="">
      <xdr:nvGraphicFramePr>
        <xdr:cNvPr id="33947"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0.40045</cdr:x>
      <cdr:y>0.44817</cdr:y>
    </cdr:from>
    <cdr:to>
      <cdr:x>0.63279</cdr:x>
      <cdr:y>0.56884</cdr:y>
    </cdr:to>
    <cdr:sp macro="" textlink="">
      <cdr:nvSpPr>
        <cdr:cNvPr id="5" name="正方形/長方形 4"/>
        <cdr:cNvSpPr/>
      </cdr:nvSpPr>
      <cdr:spPr bwMode="auto">
        <a:xfrm xmlns:a="http://schemas.openxmlformats.org/drawingml/2006/main">
          <a:off x="2930876" y="4209035"/>
          <a:ext cx="1700499" cy="1133291"/>
        </a:xfrm>
        <a:prstGeom xmlns:a="http://schemas.openxmlformats.org/drawingml/2006/main" prst="rect">
          <a:avLst/>
        </a:prstGeom>
        <a:solidFill xmlns:a="http://schemas.openxmlformats.org/drawingml/2006/main">
          <a:schemeClr val="bg1"/>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a:t>合計</a:t>
          </a:r>
          <a:endParaRPr lang="en-US" altLang="ja-JP" sz="2000"/>
        </a:p>
        <a:p xmlns:a="http://schemas.openxmlformats.org/drawingml/2006/main">
          <a:pPr algn="ctr"/>
          <a:r>
            <a:rPr lang="en-US" altLang="ja-JP" sz="2000"/>
            <a:t>115,700,000</a:t>
          </a:r>
        </a:p>
        <a:p xmlns:a="http://schemas.openxmlformats.org/drawingml/2006/main">
          <a:pPr algn="ctr"/>
          <a:r>
            <a:rPr lang="en-US" altLang="ja-JP" sz="2000"/>
            <a:t>100</a:t>
          </a:r>
          <a:r>
            <a:rPr lang="ja-JP" altLang="en-US" sz="2000"/>
            <a:t>％</a:t>
          </a:r>
          <a:endParaRPr lang="ja-JP" sz="2000"/>
        </a:p>
      </cdr:txBody>
    </cdr:sp>
  </cdr:relSizeAnchor>
  <cdr:relSizeAnchor xmlns:cdr="http://schemas.openxmlformats.org/drawingml/2006/chartDrawing">
    <cdr:from>
      <cdr:x>0.60463</cdr:x>
      <cdr:y>0.00506</cdr:y>
    </cdr:from>
    <cdr:to>
      <cdr:x>0.60463</cdr:x>
      <cdr:y>0.00506</cdr:y>
    </cdr:to>
    <cdr:sp macro="" textlink="">
      <cdr:nvSpPr>
        <cdr:cNvPr id="34817" name="Text Box 1"/>
        <cdr:cNvSpPr txBox="1">
          <a:spLocks xmlns:a="http://schemas.openxmlformats.org/drawingml/2006/main" noChangeArrowheads="1"/>
        </cdr:cNvSpPr>
      </cdr:nvSpPr>
      <cdr:spPr bwMode="auto">
        <a:xfrm xmlns:a="http://schemas.openxmlformats.org/drawingml/2006/main">
          <a:off x="4443406" y="50800"/>
          <a:ext cx="0" cy="0"/>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繰入金　　　　　　　　　 　　　　</a:t>
          </a:r>
          <a:r>
            <a:rPr lang="en-US" altLang="ja-JP" sz="1025" b="0" i="0" u="none" strike="noStrike" baseline="0">
              <a:solidFill>
                <a:srgbClr val="000000"/>
              </a:solidFill>
              <a:latin typeface="ＭＳ Ｐゴシック"/>
              <a:ea typeface="ＭＳ Ｐゴシック"/>
            </a:rPr>
            <a:t>1,100,000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1.4%</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繰越金　　　　　　　　　　　　　 </a:t>
          </a:r>
          <a:r>
            <a:rPr lang="en-US" altLang="ja-JP" sz="1025" b="0" i="0" u="none" strike="noStrike" baseline="0">
              <a:solidFill>
                <a:srgbClr val="000000"/>
              </a:solidFill>
              <a:latin typeface="ＭＳ Ｐゴシック"/>
              <a:ea typeface="ＭＳ Ｐゴシック"/>
            </a:rPr>
            <a:t>1,000,000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1.3%</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使用料及び手数料　　　　　　　</a:t>
          </a:r>
          <a:r>
            <a:rPr lang="en-US" altLang="ja-JP" sz="1025" b="0" i="0" u="none" strike="noStrike" baseline="0">
              <a:solidFill>
                <a:srgbClr val="000000"/>
              </a:solidFill>
              <a:latin typeface="ＭＳ Ｐゴシック"/>
              <a:ea typeface="ＭＳ Ｐゴシック"/>
            </a:rPr>
            <a:t>886,980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1.2%</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地方譲与税　　　　　　　 　　　　</a:t>
          </a:r>
          <a:r>
            <a:rPr lang="en-US" altLang="ja-JP" sz="1025" b="0" i="0" u="none" strike="noStrike" baseline="0">
              <a:solidFill>
                <a:srgbClr val="000000"/>
              </a:solidFill>
              <a:latin typeface="ＭＳ Ｐゴシック"/>
              <a:ea typeface="ＭＳ Ｐゴシック"/>
            </a:rPr>
            <a:t>840,000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1.1%</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地方交付税 　　　　　　　　　　　</a:t>
          </a:r>
          <a:r>
            <a:rPr lang="en-US" altLang="ja-JP" sz="1025" b="0" i="0" u="none" strike="noStrike" baseline="0">
              <a:solidFill>
                <a:srgbClr val="000000"/>
              </a:solidFill>
              <a:latin typeface="ＭＳ Ｐゴシック"/>
              <a:ea typeface="ＭＳ Ｐゴシック"/>
            </a:rPr>
            <a:t>600,000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0.8%</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地方特例交付金　　　　　　　　 </a:t>
          </a:r>
          <a:r>
            <a:rPr lang="en-US" altLang="ja-JP" sz="1025" b="0" i="0" u="none" strike="noStrike" baseline="0">
              <a:solidFill>
                <a:srgbClr val="000000"/>
              </a:solidFill>
              <a:latin typeface="ＭＳ Ｐゴシック"/>
              <a:ea typeface="ＭＳ Ｐゴシック"/>
            </a:rPr>
            <a:t>540,000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0.7%</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自動車取得税交付金　　　　　 </a:t>
          </a:r>
          <a:r>
            <a:rPr lang="en-US" altLang="ja-JP" sz="1025" b="0" i="0" u="none" strike="noStrike" baseline="0">
              <a:solidFill>
                <a:srgbClr val="000000"/>
              </a:solidFill>
              <a:latin typeface="ＭＳ Ｐゴシック"/>
              <a:ea typeface="ＭＳ Ｐゴシック"/>
            </a:rPr>
            <a:t>300,010  </a:t>
          </a:r>
          <a:r>
            <a:rPr lang="ja-JP" altLang="en-US" sz="1025" b="0" i="0" u="none" strike="noStrike" baseline="0">
              <a:solidFill>
                <a:srgbClr val="000000"/>
              </a:solidFill>
              <a:latin typeface="ＭＳ Ｐゴシック"/>
              <a:ea typeface="ＭＳ Ｐゴシック"/>
            </a:rPr>
            <a:t>（</a:t>
          </a:r>
          <a:r>
            <a:rPr lang="en-US" altLang="ja-JP" sz="1025" b="0" i="0" u="none" strike="noStrike" baseline="0">
              <a:solidFill>
                <a:srgbClr val="000000"/>
              </a:solidFill>
              <a:latin typeface="ＭＳ Ｐゴシック"/>
              <a:ea typeface="ＭＳ Ｐゴシック"/>
            </a:rPr>
            <a:t>0.4%</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利子割交付金　　　　　　　　　　</a:t>
          </a:r>
          <a:r>
            <a:rPr lang="en-US" altLang="ja-JP" sz="1025" b="0" i="0" u="none" strike="noStrike" baseline="0">
              <a:solidFill>
                <a:srgbClr val="000000"/>
              </a:solidFill>
              <a:latin typeface="ＭＳ Ｐゴシック"/>
              <a:ea typeface="ＭＳ Ｐゴシック"/>
            </a:rPr>
            <a:t>150,000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0.2%</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財産収入　　　　　　　　　　　　　 </a:t>
          </a:r>
          <a:r>
            <a:rPr lang="en-US" altLang="ja-JP" sz="1025" b="0" i="0" u="none" strike="noStrike" baseline="0">
              <a:solidFill>
                <a:srgbClr val="000000"/>
              </a:solidFill>
              <a:latin typeface="ＭＳ Ｐゴシック"/>
              <a:ea typeface="ＭＳ Ｐゴシック"/>
            </a:rPr>
            <a:t>78,300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0.1%</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交通安全対策特別交付金　　　</a:t>
          </a:r>
          <a:r>
            <a:rPr lang="en-US" altLang="ja-JP" sz="1025" b="0" i="0" u="none" strike="noStrike" baseline="0">
              <a:solidFill>
                <a:srgbClr val="000000"/>
              </a:solidFill>
              <a:latin typeface="ＭＳ Ｐゴシック"/>
              <a:ea typeface="ＭＳ Ｐゴシック"/>
            </a:rPr>
            <a:t>60,000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0.1%</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配当割交付金　　　　　　　　　　 </a:t>
          </a:r>
          <a:r>
            <a:rPr lang="en-US" altLang="ja-JP" sz="1025" b="0" i="0" u="none" strike="noStrike" baseline="0">
              <a:solidFill>
                <a:srgbClr val="000000"/>
              </a:solidFill>
              <a:latin typeface="ＭＳ Ｐゴシック"/>
              <a:ea typeface="ＭＳ Ｐゴシック"/>
            </a:rPr>
            <a:t>40,000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0.1%</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株式譲渡所得割交付金　　　　 </a:t>
          </a:r>
          <a:r>
            <a:rPr lang="en-US" altLang="ja-JP" sz="1025" b="0" i="0" u="none" strike="noStrike" baseline="0">
              <a:solidFill>
                <a:srgbClr val="000000"/>
              </a:solidFill>
              <a:latin typeface="ＭＳ Ｐゴシック"/>
              <a:ea typeface="ＭＳ Ｐゴシック"/>
            </a:rPr>
            <a:t>30,000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0.0%</a:t>
          </a:r>
          <a:r>
            <a:rPr lang="ja-JP" altLang="en-US" sz="102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25" b="0" i="0" u="none" strike="noStrike" baseline="0">
              <a:solidFill>
                <a:srgbClr val="000000"/>
              </a:solidFill>
              <a:latin typeface="ＭＳ Ｐゴシック"/>
              <a:ea typeface="ＭＳ Ｐゴシック"/>
            </a:rPr>
            <a:t>寄附金　　　　　　　　　　　　　　　　 　</a:t>
          </a:r>
          <a:r>
            <a:rPr lang="en-US" altLang="ja-JP" sz="1025" b="0" i="0" u="none" strike="noStrike" baseline="0">
              <a:solidFill>
                <a:srgbClr val="000000"/>
              </a:solidFill>
              <a:latin typeface="ＭＳ Ｐゴシック"/>
              <a:ea typeface="ＭＳ Ｐゴシック"/>
            </a:rPr>
            <a:t>20</a:t>
          </a:r>
          <a:r>
            <a:rPr lang="ja-JP" altLang="en-US" sz="1025" b="0" i="0" u="none" strike="noStrike" baseline="0">
              <a:solidFill>
                <a:srgbClr val="000000"/>
              </a:solidFill>
              <a:latin typeface="ＭＳ Ｐゴシック"/>
              <a:ea typeface="ＭＳ Ｐゴシック"/>
            </a:rPr>
            <a:t>　（</a:t>
          </a:r>
          <a:r>
            <a:rPr lang="en-US" altLang="ja-JP" sz="1025" b="0" i="0" u="none" strike="noStrike" baseline="0">
              <a:solidFill>
                <a:srgbClr val="000000"/>
              </a:solidFill>
              <a:latin typeface="ＭＳ Ｐゴシック"/>
              <a:ea typeface="ＭＳ Ｐゴシック"/>
            </a:rPr>
            <a:t>0.0%</a:t>
          </a:r>
          <a:r>
            <a:rPr lang="ja-JP" altLang="en-US" sz="1025"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0.52476</cdr:x>
      <cdr:y>0.14191</cdr:y>
    </cdr:from>
    <cdr:to>
      <cdr:x>0.53304</cdr:x>
      <cdr:y>0.19451</cdr:y>
    </cdr:to>
    <cdr:sp macro="" textlink="">
      <cdr:nvSpPr>
        <cdr:cNvPr id="34818" name="Line 2"/>
        <cdr:cNvSpPr>
          <a:spLocks xmlns:a="http://schemas.openxmlformats.org/drawingml/2006/main" noChangeShapeType="1"/>
        </cdr:cNvSpPr>
      </cdr:nvSpPr>
      <cdr:spPr bwMode="auto">
        <a:xfrm xmlns:a="http://schemas.openxmlformats.org/drawingml/2006/main" flipH="1">
          <a:off x="3836276" y="1318740"/>
          <a:ext cx="60497" cy="48877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0.40771</cdr:x>
      <cdr:y>0.10576</cdr:y>
    </cdr:from>
    <cdr:to>
      <cdr:x>0.51341</cdr:x>
      <cdr:y>0.19322</cdr:y>
    </cdr:to>
    <cdr:sp macro="" textlink="">
      <cdr:nvSpPr>
        <cdr:cNvPr id="34819" name="Line 3"/>
        <cdr:cNvSpPr>
          <a:spLocks xmlns:a="http://schemas.openxmlformats.org/drawingml/2006/main" noChangeShapeType="1"/>
        </cdr:cNvSpPr>
      </cdr:nvSpPr>
      <cdr:spPr bwMode="auto">
        <a:xfrm xmlns:a="http://schemas.openxmlformats.org/drawingml/2006/main">
          <a:off x="3025588" y="1016150"/>
          <a:ext cx="784419" cy="840401"/>
        </a:xfrm>
        <a:prstGeom xmlns:a="http://schemas.openxmlformats.org/drawingml/2006/main" prst="line">
          <a:avLst/>
        </a:prstGeom>
        <a:ln xmlns:a="http://schemas.openxmlformats.org/drawingml/2006/main">
          <a:headEnd/>
          <a:tailEnd/>
        </a:ln>
        <a:extLst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0.10651</cdr:x>
      <cdr:y>0.19362</cdr:y>
    </cdr:from>
    <cdr:to>
      <cdr:x>0.10672</cdr:x>
      <cdr:y>0.52921</cdr:y>
    </cdr:to>
    <cdr:sp macro="" textlink="">
      <cdr:nvSpPr>
        <cdr:cNvPr id="7" name="Line 10"/>
        <cdr:cNvSpPr>
          <a:spLocks xmlns:a="http://schemas.openxmlformats.org/drawingml/2006/main" noChangeShapeType="1"/>
        </cdr:cNvSpPr>
      </cdr:nvSpPr>
      <cdr:spPr bwMode="auto">
        <a:xfrm xmlns:a="http://schemas.openxmlformats.org/drawingml/2006/main" flipH="1" flipV="1">
          <a:off x="779564" y="1818436"/>
          <a:ext cx="1486" cy="3151709"/>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75079</xdr:colOff>
      <xdr:row>7</xdr:row>
      <xdr:rowOff>149962</xdr:rowOff>
    </xdr:from>
    <xdr:to>
      <xdr:col>27</xdr:col>
      <xdr:colOff>156321</xdr:colOff>
      <xdr:row>52</xdr:row>
      <xdr:rowOff>85155</xdr:rowOff>
    </xdr:to>
    <xdr:graphicFrame macro="">
      <xdr:nvGraphicFramePr>
        <xdr:cNvPr id="3600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197784</xdr:colOff>
      <xdr:row>27</xdr:row>
      <xdr:rowOff>222996</xdr:rowOff>
    </xdr:from>
    <xdr:to>
      <xdr:col>16</xdr:col>
      <xdr:colOff>244473</xdr:colOff>
      <xdr:row>33</xdr:row>
      <xdr:rowOff>37980</xdr:rowOff>
    </xdr:to>
    <xdr:sp macro="" textlink="">
      <xdr:nvSpPr>
        <xdr:cNvPr id="16" name="正方形/長方形 15"/>
        <xdr:cNvSpPr/>
      </xdr:nvSpPr>
      <xdr:spPr bwMode="auto">
        <a:xfrm>
          <a:off x="2999255" y="6061261"/>
          <a:ext cx="1727571" cy="1159690"/>
        </a:xfrm>
        <a:prstGeom prst="rect">
          <a:avLst/>
        </a:prstGeom>
        <a:solidFill>
          <a:schemeClr val="bg1"/>
        </a:solidFill>
        <a:ln w="9525" cap="flat" cmpd="sng" algn="ctr">
          <a:noFill/>
          <a:prstDash val="solid"/>
          <a:round/>
          <a:headEnd type="none" w="med" len="med"/>
          <a:tailEnd type="none" w="med" len="med"/>
        </a:ln>
        <a:effectLst/>
        <a:ex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2000"/>
            <a:t>合計</a:t>
          </a:r>
          <a:endParaRPr lang="en-US" altLang="ja-JP" sz="2000"/>
        </a:p>
        <a:p>
          <a:pPr algn="ctr"/>
          <a:r>
            <a:rPr lang="en-US" altLang="ja-JP" sz="2000"/>
            <a:t>115,700,000</a:t>
          </a:r>
        </a:p>
        <a:p>
          <a:pPr algn="ctr"/>
          <a:r>
            <a:rPr lang="en-US" altLang="ja-JP" sz="2000"/>
            <a:t>100</a:t>
          </a:r>
          <a:r>
            <a:rPr lang="ja-JP" altLang="en-US" sz="2000"/>
            <a:t>％</a:t>
          </a:r>
          <a:endParaRPr lang="ja-JP" sz="2000"/>
        </a:p>
      </xdr:txBody>
    </xdr:sp>
    <xdr:clientData/>
  </xdr:twoCellAnchor>
  <xdr:twoCellAnchor>
    <xdr:from>
      <xdr:col>4</xdr:col>
      <xdr:colOff>11206</xdr:colOff>
      <xdr:row>21</xdr:row>
      <xdr:rowOff>63159</xdr:rowOff>
    </xdr:from>
    <xdr:to>
      <xdr:col>22</xdr:col>
      <xdr:colOff>257735</xdr:colOff>
      <xdr:row>38</xdr:row>
      <xdr:rowOff>89647</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161925</xdr:colOff>
      <xdr:row>41</xdr:row>
      <xdr:rowOff>161925</xdr:rowOff>
    </xdr:from>
    <xdr:to>
      <xdr:col>2</xdr:col>
      <xdr:colOff>161925</xdr:colOff>
      <xdr:row>46</xdr:row>
      <xdr:rowOff>142875</xdr:rowOff>
    </xdr:to>
    <xdr:sp macro="" textlink="">
      <xdr:nvSpPr>
        <xdr:cNvPr id="36012" name="Line 4"/>
        <xdr:cNvSpPr>
          <a:spLocks noChangeShapeType="1"/>
        </xdr:cNvSpPr>
      </xdr:nvSpPr>
      <xdr:spPr bwMode="auto">
        <a:xfrm flipV="1">
          <a:off x="714375" y="89439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198583</xdr:colOff>
      <xdr:row>45</xdr:row>
      <xdr:rowOff>88488</xdr:rowOff>
    </xdr:from>
    <xdr:to>
      <xdr:col>2</xdr:col>
      <xdr:colOff>198583</xdr:colOff>
      <xdr:row>48</xdr:row>
      <xdr:rowOff>205753</xdr:rowOff>
    </xdr:to>
    <xdr:sp macro="" textlink="">
      <xdr:nvSpPr>
        <xdr:cNvPr id="36018" name="Line 10"/>
        <xdr:cNvSpPr>
          <a:spLocks noChangeShapeType="1"/>
        </xdr:cNvSpPr>
      </xdr:nvSpPr>
      <xdr:spPr bwMode="auto">
        <a:xfrm>
          <a:off x="758877" y="9714341"/>
          <a:ext cx="0" cy="756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32144</xdr:colOff>
      <xdr:row>8</xdr:row>
      <xdr:rowOff>7</xdr:rowOff>
    </xdr:from>
    <xdr:to>
      <xdr:col>23</xdr:col>
      <xdr:colOff>130105</xdr:colOff>
      <xdr:row>12</xdr:row>
      <xdr:rowOff>9299</xdr:rowOff>
    </xdr:to>
    <xdr:cxnSp macro="">
      <xdr:nvCxnSpPr>
        <xdr:cNvPr id="36020" name="AutoShape 12"/>
        <xdr:cNvCxnSpPr>
          <a:cxnSpLocks noChangeShapeType="1"/>
        </xdr:cNvCxnSpPr>
      </xdr:nvCxnSpPr>
      <xdr:spPr bwMode="auto">
        <a:xfrm rot="16200000" flipV="1">
          <a:off x="5826326" y="1965215"/>
          <a:ext cx="845633" cy="372095"/>
        </a:xfrm>
        <a:prstGeom prst="bentConnector3">
          <a:avLst>
            <a:gd name="adj1" fmla="val 10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193512</xdr:colOff>
      <xdr:row>45</xdr:row>
      <xdr:rowOff>82262</xdr:rowOff>
    </xdr:from>
    <xdr:to>
      <xdr:col>5</xdr:col>
      <xdr:colOff>1071</xdr:colOff>
      <xdr:row>45</xdr:row>
      <xdr:rowOff>82262</xdr:rowOff>
    </xdr:to>
    <xdr:cxnSp macro="">
      <xdr:nvCxnSpPr>
        <xdr:cNvPr id="3" name="直線コネクタ 2"/>
        <xdr:cNvCxnSpPr/>
      </xdr:nvCxnSpPr>
      <xdr:spPr bwMode="auto">
        <a:xfrm>
          <a:off x="753806" y="9708115"/>
          <a:ext cx="648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212911</xdr:colOff>
      <xdr:row>14</xdr:row>
      <xdr:rowOff>156883</xdr:rowOff>
    </xdr:from>
    <xdr:to>
      <xdr:col>12</xdr:col>
      <xdr:colOff>264441</xdr:colOff>
      <xdr:row>16</xdr:row>
      <xdr:rowOff>182930</xdr:rowOff>
    </xdr:to>
    <xdr:sp macro="" textlink="">
      <xdr:nvSpPr>
        <xdr:cNvPr id="10" name="Line 3"/>
        <xdr:cNvSpPr>
          <a:spLocks noChangeShapeType="1"/>
        </xdr:cNvSpPr>
      </xdr:nvSpPr>
      <xdr:spPr bwMode="auto">
        <a:xfrm>
          <a:off x="3574676" y="3182471"/>
          <a:ext cx="51530" cy="451871"/>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7</xdr:col>
      <xdr:colOff>160618</xdr:colOff>
      <xdr:row>14</xdr:row>
      <xdr:rowOff>153148</xdr:rowOff>
    </xdr:from>
    <xdr:to>
      <xdr:col>10</xdr:col>
      <xdr:colOff>89647</xdr:colOff>
      <xdr:row>18</xdr:row>
      <xdr:rowOff>112059</xdr:rowOff>
    </xdr:to>
    <xdr:sp macro="" textlink="">
      <xdr:nvSpPr>
        <xdr:cNvPr id="12" name="Line 3"/>
        <xdr:cNvSpPr>
          <a:spLocks noChangeShapeType="1"/>
        </xdr:cNvSpPr>
      </xdr:nvSpPr>
      <xdr:spPr bwMode="auto">
        <a:xfrm>
          <a:off x="2121647" y="3178736"/>
          <a:ext cx="769471" cy="810558"/>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7</xdr:col>
      <xdr:colOff>190500</xdr:colOff>
      <xdr:row>10</xdr:row>
      <xdr:rowOff>0</xdr:rowOff>
    </xdr:from>
    <xdr:to>
      <xdr:col>11</xdr:col>
      <xdr:colOff>252324</xdr:colOff>
      <xdr:row>17</xdr:row>
      <xdr:rowOff>32460</xdr:rowOff>
    </xdr:to>
    <xdr:sp macro="" textlink="">
      <xdr:nvSpPr>
        <xdr:cNvPr id="14" name="Line 3"/>
        <xdr:cNvSpPr>
          <a:spLocks noChangeShapeType="1"/>
        </xdr:cNvSpPr>
      </xdr:nvSpPr>
      <xdr:spPr bwMode="auto">
        <a:xfrm>
          <a:off x="2151529" y="2173941"/>
          <a:ext cx="1182413" cy="1522843"/>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13</xdr:col>
      <xdr:colOff>156881</xdr:colOff>
      <xdr:row>13</xdr:row>
      <xdr:rowOff>100853</xdr:rowOff>
    </xdr:from>
    <xdr:to>
      <xdr:col>19</xdr:col>
      <xdr:colOff>190499</xdr:colOff>
      <xdr:row>17</xdr:row>
      <xdr:rowOff>78440</xdr:rowOff>
    </xdr:to>
    <xdr:sp macro="" textlink="">
      <xdr:nvSpPr>
        <xdr:cNvPr id="17" name="Line 3"/>
        <xdr:cNvSpPr>
          <a:spLocks noChangeShapeType="1"/>
        </xdr:cNvSpPr>
      </xdr:nvSpPr>
      <xdr:spPr bwMode="auto">
        <a:xfrm flipH="1">
          <a:off x="3798793" y="2913529"/>
          <a:ext cx="1815353" cy="829235"/>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10</xdr:col>
      <xdr:colOff>168087</xdr:colOff>
      <xdr:row>43</xdr:row>
      <xdr:rowOff>137437</xdr:rowOff>
    </xdr:from>
    <xdr:to>
      <xdr:col>12</xdr:col>
      <xdr:colOff>188558</xdr:colOff>
      <xdr:row>45</xdr:row>
      <xdr:rowOff>44823</xdr:rowOff>
    </xdr:to>
    <xdr:sp macro="" textlink="">
      <xdr:nvSpPr>
        <xdr:cNvPr id="18" name="Line 3"/>
        <xdr:cNvSpPr>
          <a:spLocks noChangeShapeType="1"/>
        </xdr:cNvSpPr>
      </xdr:nvSpPr>
      <xdr:spPr bwMode="auto">
        <a:xfrm flipV="1">
          <a:off x="2969558" y="9337466"/>
          <a:ext cx="580765" cy="333210"/>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13</xdr:col>
      <xdr:colOff>178839</xdr:colOff>
      <xdr:row>43</xdr:row>
      <xdr:rowOff>32670</xdr:rowOff>
    </xdr:from>
    <xdr:to>
      <xdr:col>14</xdr:col>
      <xdr:colOff>173145</xdr:colOff>
      <xdr:row>47</xdr:row>
      <xdr:rowOff>13840</xdr:rowOff>
    </xdr:to>
    <xdr:sp macro="" textlink="">
      <xdr:nvSpPr>
        <xdr:cNvPr id="20" name="Line 3"/>
        <xdr:cNvSpPr>
          <a:spLocks noChangeShapeType="1"/>
        </xdr:cNvSpPr>
      </xdr:nvSpPr>
      <xdr:spPr bwMode="auto">
        <a:xfrm flipH="1" flipV="1">
          <a:off x="3820751" y="9232699"/>
          <a:ext cx="274453" cy="832817"/>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14</xdr:col>
      <xdr:colOff>235321</xdr:colOff>
      <xdr:row>42</xdr:row>
      <xdr:rowOff>168088</xdr:rowOff>
    </xdr:from>
    <xdr:to>
      <xdr:col>18</xdr:col>
      <xdr:colOff>100852</xdr:colOff>
      <xdr:row>46</xdr:row>
      <xdr:rowOff>78441</xdr:rowOff>
    </xdr:to>
    <xdr:sp macro="" textlink="">
      <xdr:nvSpPr>
        <xdr:cNvPr id="21" name="Line 3"/>
        <xdr:cNvSpPr>
          <a:spLocks noChangeShapeType="1"/>
        </xdr:cNvSpPr>
      </xdr:nvSpPr>
      <xdr:spPr bwMode="auto">
        <a:xfrm flipH="1" flipV="1">
          <a:off x="4157380" y="9155206"/>
          <a:ext cx="1042148" cy="762000"/>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xdr:from>
      <xdr:col>17</xdr:col>
      <xdr:colOff>201701</xdr:colOff>
      <xdr:row>41</xdr:row>
      <xdr:rowOff>212911</xdr:rowOff>
    </xdr:from>
    <xdr:to>
      <xdr:col>21</xdr:col>
      <xdr:colOff>212911</xdr:colOff>
      <xdr:row>43</xdr:row>
      <xdr:rowOff>123265</xdr:rowOff>
    </xdr:to>
    <xdr:sp macro="" textlink="">
      <xdr:nvSpPr>
        <xdr:cNvPr id="22" name="Line 3"/>
        <xdr:cNvSpPr>
          <a:spLocks noChangeShapeType="1"/>
        </xdr:cNvSpPr>
      </xdr:nvSpPr>
      <xdr:spPr bwMode="auto">
        <a:xfrm flipH="1" flipV="1">
          <a:off x="4964201" y="8987117"/>
          <a:ext cx="1232651" cy="336177"/>
        </a:xfrm>
        <a:prstGeom prst="line">
          <a:avLst/>
        </a:prstGeom>
        <a:ln>
          <a:headEnd/>
          <a:tailEnd/>
        </a:ln>
        <a:extLst/>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wsDr>
</file>

<file path=xl/drawings/drawing13.xml><?xml version="1.0" encoding="utf-8"?>
<c:userShapes xmlns:c="http://schemas.openxmlformats.org/drawingml/2006/chart">
  <cdr:relSizeAnchor xmlns:cdr="http://schemas.openxmlformats.org/drawingml/2006/chartDrawing">
    <cdr:from>
      <cdr:x>0.60517</cdr:x>
      <cdr:y>0.00486</cdr:y>
    </cdr:from>
    <cdr:to>
      <cdr:x>0.60517</cdr:x>
      <cdr:y>0.00486</cdr:y>
    </cdr:to>
    <cdr:sp macro="" textlink="">
      <cdr:nvSpPr>
        <cdr:cNvPr id="36865" name="Text Box 1"/>
        <cdr:cNvSpPr txBox="1">
          <a:spLocks xmlns:a="http://schemas.openxmlformats.org/drawingml/2006/main" noChangeArrowheads="1"/>
        </cdr:cNvSpPr>
      </cdr:nvSpPr>
      <cdr:spPr bwMode="auto">
        <a:xfrm xmlns:a="http://schemas.openxmlformats.org/drawingml/2006/main">
          <a:off x="4603007" y="50800"/>
          <a:ext cx="0" cy="0"/>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繰入金　　　　　　　　　 　　　　</a:t>
          </a:r>
          <a:r>
            <a:rPr lang="en-US" altLang="ja-JP" sz="1075" b="0" i="0" u="none" strike="noStrike" baseline="0">
              <a:solidFill>
                <a:srgbClr val="000000"/>
              </a:solidFill>
              <a:latin typeface="ＭＳ Ｐゴシック"/>
              <a:ea typeface="ＭＳ Ｐゴシック"/>
            </a:rPr>
            <a:t>1,100,000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1.4%</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繰越金　　　　　　　　　　　　　 </a:t>
          </a:r>
          <a:r>
            <a:rPr lang="en-US" altLang="ja-JP" sz="1075" b="0" i="0" u="none" strike="noStrike" baseline="0">
              <a:solidFill>
                <a:srgbClr val="000000"/>
              </a:solidFill>
              <a:latin typeface="ＭＳ Ｐゴシック"/>
              <a:ea typeface="ＭＳ Ｐゴシック"/>
            </a:rPr>
            <a:t>1,000,000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1.3%</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使用料及び手数料　　　　　　　</a:t>
          </a:r>
          <a:r>
            <a:rPr lang="en-US" altLang="ja-JP" sz="1075" b="0" i="0" u="none" strike="noStrike" baseline="0">
              <a:solidFill>
                <a:srgbClr val="000000"/>
              </a:solidFill>
              <a:latin typeface="ＭＳ Ｐゴシック"/>
              <a:ea typeface="ＭＳ Ｐゴシック"/>
            </a:rPr>
            <a:t>886,980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1.2%</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地方譲与税　　　　　　　 　　　　</a:t>
          </a:r>
          <a:r>
            <a:rPr lang="en-US" altLang="ja-JP" sz="1075" b="0" i="0" u="none" strike="noStrike" baseline="0">
              <a:solidFill>
                <a:srgbClr val="000000"/>
              </a:solidFill>
              <a:latin typeface="ＭＳ Ｐゴシック"/>
              <a:ea typeface="ＭＳ Ｐゴシック"/>
            </a:rPr>
            <a:t>840,000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地方交付税 　　　　　　　　　　　</a:t>
          </a:r>
          <a:r>
            <a:rPr lang="en-US" altLang="ja-JP" sz="1075" b="0" i="0" u="none" strike="noStrike" baseline="0">
              <a:solidFill>
                <a:srgbClr val="000000"/>
              </a:solidFill>
              <a:latin typeface="ＭＳ Ｐゴシック"/>
              <a:ea typeface="ＭＳ Ｐゴシック"/>
            </a:rPr>
            <a:t>600,000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0.8%</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地方特例交付金　　　　　　　　 </a:t>
          </a:r>
          <a:r>
            <a:rPr lang="en-US" altLang="ja-JP" sz="1075" b="0" i="0" u="none" strike="noStrike" baseline="0">
              <a:solidFill>
                <a:srgbClr val="000000"/>
              </a:solidFill>
              <a:latin typeface="ＭＳ Ｐゴシック"/>
              <a:ea typeface="ＭＳ Ｐゴシック"/>
            </a:rPr>
            <a:t>540,000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0.7%</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自動車取得税交付金　　　　　 </a:t>
          </a:r>
          <a:r>
            <a:rPr lang="en-US" altLang="ja-JP" sz="1075" b="0" i="0" u="none" strike="noStrike" baseline="0">
              <a:solidFill>
                <a:srgbClr val="000000"/>
              </a:solidFill>
              <a:latin typeface="ＭＳ Ｐゴシック"/>
              <a:ea typeface="ＭＳ Ｐゴシック"/>
            </a:rPr>
            <a:t>300,010  </a:t>
          </a:r>
          <a:r>
            <a:rPr lang="ja-JP" altLang="en-US" sz="1075" b="0" i="0" u="none" strike="noStrike" baseline="0">
              <a:solidFill>
                <a:srgbClr val="000000"/>
              </a:solidFill>
              <a:latin typeface="ＭＳ Ｐゴシック"/>
              <a:ea typeface="ＭＳ Ｐゴシック"/>
            </a:rPr>
            <a:t>（</a:t>
          </a:r>
          <a:r>
            <a:rPr lang="en-US" altLang="ja-JP" sz="1075" b="0" i="0" u="none" strike="noStrike" baseline="0">
              <a:solidFill>
                <a:srgbClr val="000000"/>
              </a:solidFill>
              <a:latin typeface="ＭＳ Ｐゴシック"/>
              <a:ea typeface="ＭＳ Ｐゴシック"/>
            </a:rPr>
            <a:t>0.4%</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利子割交付金　　　　　　　　　　</a:t>
          </a:r>
          <a:r>
            <a:rPr lang="en-US" altLang="ja-JP" sz="1075" b="0" i="0" u="none" strike="noStrike" baseline="0">
              <a:solidFill>
                <a:srgbClr val="000000"/>
              </a:solidFill>
              <a:latin typeface="ＭＳ Ｐゴシック"/>
              <a:ea typeface="ＭＳ Ｐゴシック"/>
            </a:rPr>
            <a:t>150,000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0.2%</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財産収入　　　　　　　　　　　　　 </a:t>
          </a:r>
          <a:r>
            <a:rPr lang="en-US" altLang="ja-JP" sz="1075" b="0" i="0" u="none" strike="noStrike" baseline="0">
              <a:solidFill>
                <a:srgbClr val="000000"/>
              </a:solidFill>
              <a:latin typeface="ＭＳ Ｐゴシック"/>
              <a:ea typeface="ＭＳ Ｐゴシック"/>
            </a:rPr>
            <a:t>78,300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交通安全対策特別交付金　　　</a:t>
          </a:r>
          <a:r>
            <a:rPr lang="en-US" altLang="ja-JP" sz="1075" b="0" i="0" u="none" strike="noStrike" baseline="0">
              <a:solidFill>
                <a:srgbClr val="000000"/>
              </a:solidFill>
              <a:latin typeface="ＭＳ Ｐゴシック"/>
              <a:ea typeface="ＭＳ Ｐゴシック"/>
            </a:rPr>
            <a:t>60,000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配当割交付金　　　　　　　　　　 </a:t>
          </a:r>
          <a:r>
            <a:rPr lang="en-US" altLang="ja-JP" sz="1075" b="0" i="0" u="none" strike="noStrike" baseline="0">
              <a:solidFill>
                <a:srgbClr val="000000"/>
              </a:solidFill>
              <a:latin typeface="ＭＳ Ｐゴシック"/>
              <a:ea typeface="ＭＳ Ｐゴシック"/>
            </a:rPr>
            <a:t>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株式譲渡所得割交付金　　　　 </a:t>
          </a:r>
          <a:r>
            <a:rPr lang="en-US" altLang="ja-JP" sz="1075" b="0" i="0" u="none" strike="noStrike" baseline="0">
              <a:solidFill>
                <a:srgbClr val="000000"/>
              </a:solidFill>
              <a:latin typeface="ＭＳ Ｐゴシック"/>
              <a:ea typeface="ＭＳ Ｐゴシック"/>
            </a:rPr>
            <a:t>30,000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0.0%</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寄附金　　　　　　　　　　　　　　　　 　</a:t>
          </a:r>
          <a:r>
            <a:rPr lang="en-US" altLang="ja-JP" sz="1075" b="0" i="0" u="none" strike="noStrike" baseline="0">
              <a:solidFill>
                <a:srgbClr val="000000"/>
              </a:solidFill>
              <a:latin typeface="ＭＳ Ｐゴシック"/>
              <a:ea typeface="ＭＳ Ｐゴシック"/>
            </a:rPr>
            <a:t>20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0.0%</a:t>
          </a:r>
          <a:r>
            <a:rPr lang="ja-JP" altLang="en-US" sz="1075"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0.19477</cdr:x>
      <cdr:y>0.24919</cdr:y>
    </cdr:from>
    <cdr:to>
      <cdr:x>0.26838</cdr:x>
      <cdr:y>0.29629</cdr:y>
    </cdr:to>
    <cdr:sp macro="" textlink="">
      <cdr:nvSpPr>
        <cdr:cNvPr id="3" name="Line 3"/>
        <cdr:cNvSpPr>
          <a:spLocks xmlns:a="http://schemas.openxmlformats.org/drawingml/2006/main" noChangeShapeType="1"/>
        </cdr:cNvSpPr>
      </cdr:nvSpPr>
      <cdr:spPr bwMode="auto">
        <a:xfrm xmlns:a="http://schemas.openxmlformats.org/drawingml/2006/main" flipH="1" flipV="1">
          <a:off x="1482538" y="2371360"/>
          <a:ext cx="560293" cy="448235"/>
        </a:xfrm>
        <a:prstGeom xmlns:a="http://schemas.openxmlformats.org/drawingml/2006/main" prst="line">
          <a:avLst/>
        </a:prstGeom>
        <a:ln xmlns:a="http://schemas.openxmlformats.org/drawingml/2006/main">
          <a:headEnd/>
          <a:tailEnd/>
        </a:ln>
        <a:extLst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wrap="square"/>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ja-JP" altLang="en-US"/>
        </a:p>
      </cdr:txBody>
    </cdr:sp>
  </cdr:relSizeAnchor>
</c:userShapes>
</file>

<file path=xl/drawings/drawing14.xml><?xml version="1.0" encoding="utf-8"?>
<xdr:wsDr xmlns:xdr="http://schemas.openxmlformats.org/drawingml/2006/spreadsheetDrawing" xmlns:a="http://schemas.openxmlformats.org/drawingml/2006/main">
  <xdr:twoCellAnchor>
    <xdr:from>
      <xdr:col>9</xdr:col>
      <xdr:colOff>169496</xdr:colOff>
      <xdr:row>0</xdr:row>
      <xdr:rowOff>0</xdr:rowOff>
    </xdr:from>
    <xdr:to>
      <xdr:col>11</xdr:col>
      <xdr:colOff>283796</xdr:colOff>
      <xdr:row>1</xdr:row>
      <xdr:rowOff>234950</xdr:rowOff>
    </xdr:to>
    <xdr:sp macro="" textlink="">
      <xdr:nvSpPr>
        <xdr:cNvPr id="2" name="角丸四角形 1"/>
        <xdr:cNvSpPr/>
      </xdr:nvSpPr>
      <xdr:spPr bwMode="auto">
        <a:xfrm>
          <a:off x="6341696" y="0"/>
          <a:ext cx="1485900" cy="339725"/>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chemeClr val="bg1"/>
              </a:solidFill>
            </a:rPr>
            <a:t>R6.1.15</a:t>
          </a:r>
          <a:r>
            <a:rPr kumimoji="1" lang="ja-JP" altLang="en-US" sz="1100">
              <a:solidFill>
                <a:schemeClr val="bg1"/>
              </a:solidFill>
            </a:rPr>
            <a:t>　数値入力済</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469900</xdr:colOff>
      <xdr:row>0</xdr:row>
      <xdr:rowOff>231775</xdr:rowOff>
    </xdr:from>
    <xdr:to>
      <xdr:col>11</xdr:col>
      <xdr:colOff>323850</xdr:colOff>
      <xdr:row>2</xdr:row>
      <xdr:rowOff>9525</xdr:rowOff>
    </xdr:to>
    <xdr:sp macro="" textlink="">
      <xdr:nvSpPr>
        <xdr:cNvPr id="2" name="角丸四角形 1"/>
        <xdr:cNvSpPr/>
      </xdr:nvSpPr>
      <xdr:spPr bwMode="auto">
        <a:xfrm>
          <a:off x="7632700" y="231775"/>
          <a:ext cx="1978025" cy="482600"/>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rgbClr val="FF0000"/>
              </a:solidFill>
            </a:rPr>
            <a:t>R6.1.19</a:t>
          </a:r>
          <a:r>
            <a:rPr kumimoji="1" lang="ja-JP" altLang="en-US" sz="1100">
              <a:solidFill>
                <a:srgbClr val="FF0000"/>
              </a:solidFill>
            </a:rPr>
            <a:t>　数値入力未</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最終調整後</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65690</xdr:colOff>
      <xdr:row>36</xdr:row>
      <xdr:rowOff>124809</xdr:rowOff>
    </xdr:from>
    <xdr:to>
      <xdr:col>25</xdr:col>
      <xdr:colOff>243052</xdr:colOff>
      <xdr:row>55</xdr:row>
      <xdr:rowOff>52552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98534</xdr:colOff>
      <xdr:row>7</xdr:row>
      <xdr:rowOff>39413</xdr:rowOff>
    </xdr:from>
    <xdr:to>
      <xdr:col>25</xdr:col>
      <xdr:colOff>105102</xdr:colOff>
      <xdr:row>26</xdr:row>
      <xdr:rowOff>19706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190500</xdr:colOff>
      <xdr:row>90</xdr:row>
      <xdr:rowOff>123825</xdr:rowOff>
    </xdr:from>
    <xdr:to>
      <xdr:col>54</xdr:col>
      <xdr:colOff>152400</xdr:colOff>
      <xdr:row>90</xdr:row>
      <xdr:rowOff>123825</xdr:rowOff>
    </xdr:to>
    <xdr:sp macro="" textlink="">
      <xdr:nvSpPr>
        <xdr:cNvPr id="4" name="Line 3"/>
        <xdr:cNvSpPr>
          <a:spLocks noChangeShapeType="1"/>
        </xdr:cNvSpPr>
      </xdr:nvSpPr>
      <xdr:spPr bwMode="auto">
        <a:xfrm>
          <a:off x="10220325" y="15163800"/>
          <a:ext cx="5762625" cy="0"/>
        </a:xfrm>
        <a:prstGeom prst="line">
          <a:avLst/>
        </a:prstGeom>
        <a:noFill/>
        <a:ln w="60325">
          <a:pattFill prst="zigZag">
            <a:fgClr>
              <a:srgbClr xmlns:mc="http://schemas.openxmlformats.org/markup-compatibility/2006" xmlns:a14="http://schemas.microsoft.com/office/drawing/2010/main" val="000000" mc:Ignorable="a14" a14:legacySpreadsheetColorIndex="64"/>
            </a:fgClr>
            <a:bgClr>
              <a:srgbClr val="FFFFFF"/>
            </a:bgClr>
          </a:patt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118242</xdr:colOff>
      <xdr:row>51</xdr:row>
      <xdr:rowOff>151086</xdr:rowOff>
    </xdr:from>
    <xdr:to>
      <xdr:col>30</xdr:col>
      <xdr:colOff>124811</xdr:colOff>
      <xdr:row>51</xdr:row>
      <xdr:rowOff>151086</xdr:rowOff>
    </xdr:to>
    <xdr:cxnSp macro="">
      <xdr:nvCxnSpPr>
        <xdr:cNvPr id="5" name="直線コネクタ 4"/>
        <xdr:cNvCxnSpPr/>
      </xdr:nvCxnSpPr>
      <xdr:spPr bwMode="auto">
        <a:xfrm>
          <a:off x="9043167" y="8514036"/>
          <a:ext cx="282794"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131380</xdr:colOff>
      <xdr:row>0</xdr:row>
      <xdr:rowOff>13138</xdr:rowOff>
    </xdr:from>
    <xdr:to>
      <xdr:col>33</xdr:col>
      <xdr:colOff>151086</xdr:colOff>
      <xdr:row>9</xdr:row>
      <xdr:rowOff>131380</xdr:rowOff>
    </xdr:to>
    <xdr:sp macro="" textlink="">
      <xdr:nvSpPr>
        <xdr:cNvPr id="6" name="テキスト ボックス 5"/>
        <xdr:cNvSpPr txBox="1"/>
      </xdr:nvSpPr>
      <xdr:spPr>
        <a:xfrm>
          <a:off x="8227630" y="13138"/>
          <a:ext cx="1953281" cy="1366017"/>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作成日</a:t>
          </a:r>
          <a:r>
            <a:rPr kumimoji="1" lang="en-US" altLang="ja-JP" sz="1100">
              <a:solidFill>
                <a:srgbClr val="FF0000"/>
              </a:solidFill>
              <a:effectLst/>
              <a:latin typeface="+mn-lt"/>
              <a:ea typeface="+mn-ea"/>
              <a:cs typeface="+mn-cs"/>
            </a:rPr>
            <a:t>R6.1.15</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R6.1.25</a:t>
          </a:r>
          <a:r>
            <a:rPr kumimoji="1" lang="ja-JP" altLang="en-US" sz="1100">
              <a:solidFill>
                <a:srgbClr val="FF0000"/>
              </a:solidFill>
            </a:rPr>
            <a:t>最終調整反映後分</a:t>
          </a:r>
          <a:r>
            <a:rPr kumimoji="1" lang="ja-JP" altLang="en-US" sz="1100"/>
            <a:t>入力</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３月補正分査定変更後に更新すること。</a:t>
          </a:r>
          <a:endParaRPr kumimoji="1" lang="en-US" altLang="ja-JP" sz="1100" b="1">
            <a:solidFill>
              <a:srgbClr val="FF0000"/>
            </a:solidFill>
          </a:endParaRPr>
        </a:p>
      </xdr:txBody>
    </xdr:sp>
    <xdr:clientData/>
  </xdr:twoCellAnchor>
  <xdr:twoCellAnchor>
    <xdr:from>
      <xdr:col>27</xdr:col>
      <xdr:colOff>229915</xdr:colOff>
      <xdr:row>51</xdr:row>
      <xdr:rowOff>131380</xdr:rowOff>
    </xdr:from>
    <xdr:to>
      <xdr:col>28</xdr:col>
      <xdr:colOff>256191</xdr:colOff>
      <xdr:row>51</xdr:row>
      <xdr:rowOff>137948</xdr:rowOff>
    </xdr:to>
    <xdr:cxnSp macro="">
      <xdr:nvCxnSpPr>
        <xdr:cNvPr id="7" name="直線コネクタ 6"/>
        <xdr:cNvCxnSpPr/>
      </xdr:nvCxnSpPr>
      <xdr:spPr bwMode="auto">
        <a:xfrm flipV="1">
          <a:off x="8602390" y="8494330"/>
          <a:ext cx="302501" cy="6568"/>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609600</xdr:colOff>
      <xdr:row>0</xdr:row>
      <xdr:rowOff>0</xdr:rowOff>
    </xdr:from>
    <xdr:to>
      <xdr:col>22</xdr:col>
      <xdr:colOff>0</xdr:colOff>
      <xdr:row>0</xdr:row>
      <xdr:rowOff>0</xdr:rowOff>
    </xdr:to>
    <xdr:graphicFrame macro="">
      <xdr:nvGraphicFramePr>
        <xdr:cNvPr id="2770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866775</xdr:colOff>
      <xdr:row>91</xdr:row>
      <xdr:rowOff>0</xdr:rowOff>
    </xdr:from>
    <xdr:to>
      <xdr:col>18</xdr:col>
      <xdr:colOff>1057275</xdr:colOff>
      <xdr:row>91</xdr:row>
      <xdr:rowOff>0</xdr:rowOff>
    </xdr:to>
    <xdr:sp macro="" textlink="">
      <xdr:nvSpPr>
        <xdr:cNvPr id="27650" name="Rectangle 2"/>
        <xdr:cNvSpPr>
          <a:spLocks noChangeArrowheads="1"/>
        </xdr:cNvSpPr>
      </xdr:nvSpPr>
      <xdr:spPr bwMode="auto">
        <a:xfrm>
          <a:off x="2838450" y="161829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20</xdr:col>
      <xdr:colOff>866775</xdr:colOff>
      <xdr:row>91</xdr:row>
      <xdr:rowOff>0</xdr:rowOff>
    </xdr:from>
    <xdr:to>
      <xdr:col>20</xdr:col>
      <xdr:colOff>1057275</xdr:colOff>
      <xdr:row>91</xdr:row>
      <xdr:rowOff>0</xdr:rowOff>
    </xdr:to>
    <xdr:sp macro="" textlink="">
      <xdr:nvSpPr>
        <xdr:cNvPr id="27651" name="Rectangle 3"/>
        <xdr:cNvSpPr>
          <a:spLocks noChangeArrowheads="1"/>
        </xdr:cNvSpPr>
      </xdr:nvSpPr>
      <xdr:spPr bwMode="auto">
        <a:xfrm>
          <a:off x="4705350" y="161829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22</xdr:col>
      <xdr:colOff>866775</xdr:colOff>
      <xdr:row>91</xdr:row>
      <xdr:rowOff>0</xdr:rowOff>
    </xdr:from>
    <xdr:to>
      <xdr:col>22</xdr:col>
      <xdr:colOff>1057275</xdr:colOff>
      <xdr:row>91</xdr:row>
      <xdr:rowOff>0</xdr:rowOff>
    </xdr:to>
    <xdr:sp macro="" textlink="">
      <xdr:nvSpPr>
        <xdr:cNvPr id="5" name="Rectangle 3"/>
        <xdr:cNvSpPr>
          <a:spLocks noChangeArrowheads="1"/>
        </xdr:cNvSpPr>
      </xdr:nvSpPr>
      <xdr:spPr bwMode="auto">
        <a:xfrm>
          <a:off x="4705350" y="161829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20</xdr:col>
      <xdr:colOff>866775</xdr:colOff>
      <xdr:row>91</xdr:row>
      <xdr:rowOff>0</xdr:rowOff>
    </xdr:from>
    <xdr:to>
      <xdr:col>20</xdr:col>
      <xdr:colOff>1057275</xdr:colOff>
      <xdr:row>91</xdr:row>
      <xdr:rowOff>0</xdr:rowOff>
    </xdr:to>
    <xdr:sp macro="" textlink="">
      <xdr:nvSpPr>
        <xdr:cNvPr id="6" name="Rectangle 2"/>
        <xdr:cNvSpPr>
          <a:spLocks noChangeArrowheads="1"/>
        </xdr:cNvSpPr>
      </xdr:nvSpPr>
      <xdr:spPr bwMode="auto">
        <a:xfrm>
          <a:off x="2838450" y="161829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16</xdr:col>
      <xdr:colOff>866775</xdr:colOff>
      <xdr:row>91</xdr:row>
      <xdr:rowOff>0</xdr:rowOff>
    </xdr:from>
    <xdr:to>
      <xdr:col>16</xdr:col>
      <xdr:colOff>1057275</xdr:colOff>
      <xdr:row>91</xdr:row>
      <xdr:rowOff>0</xdr:rowOff>
    </xdr:to>
    <xdr:sp macro="" textlink="">
      <xdr:nvSpPr>
        <xdr:cNvPr id="7" name="Rectangle 2"/>
        <xdr:cNvSpPr>
          <a:spLocks noChangeArrowheads="1"/>
        </xdr:cNvSpPr>
      </xdr:nvSpPr>
      <xdr:spPr bwMode="auto">
        <a:xfrm>
          <a:off x="5943600" y="161829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14</xdr:col>
      <xdr:colOff>866775</xdr:colOff>
      <xdr:row>91</xdr:row>
      <xdr:rowOff>0</xdr:rowOff>
    </xdr:from>
    <xdr:to>
      <xdr:col>14</xdr:col>
      <xdr:colOff>1057275</xdr:colOff>
      <xdr:row>91</xdr:row>
      <xdr:rowOff>0</xdr:rowOff>
    </xdr:to>
    <xdr:sp macro="" textlink="">
      <xdr:nvSpPr>
        <xdr:cNvPr id="10" name="Rectangle 2"/>
        <xdr:cNvSpPr>
          <a:spLocks noChangeArrowheads="1"/>
        </xdr:cNvSpPr>
      </xdr:nvSpPr>
      <xdr:spPr bwMode="auto">
        <a:xfrm>
          <a:off x="6354640" y="1634636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152399</xdr:colOff>
      <xdr:row>4</xdr:row>
      <xdr:rowOff>114300</xdr:rowOff>
    </xdr:from>
    <xdr:to>
      <xdr:col>7</xdr:col>
      <xdr:colOff>2238374</xdr:colOff>
      <xdr:row>12</xdr:row>
      <xdr:rowOff>0</xdr:rowOff>
    </xdr:to>
    <xdr:sp macro="" textlink="">
      <xdr:nvSpPr>
        <xdr:cNvPr id="3" name="角丸四角形 2"/>
        <xdr:cNvSpPr/>
      </xdr:nvSpPr>
      <xdr:spPr bwMode="auto">
        <a:xfrm>
          <a:off x="6457949" y="1123950"/>
          <a:ext cx="2085975" cy="1533525"/>
        </a:xfrm>
        <a:prstGeom prst="roundRect">
          <a:avLst/>
        </a:prstGeom>
        <a:solidFill>
          <a:srgbClr val="FFFF00"/>
        </a:solidFill>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ja-JP" altLang="en-US" sz="1100">
              <a:solidFill>
                <a:srgbClr val="FF0000"/>
              </a:solidFill>
            </a:rPr>
            <a:t>この表も忘れずに、各担当で</a:t>
          </a:r>
          <a:endParaRPr kumimoji="1" lang="en-US" altLang="ja-JP" sz="1100">
            <a:solidFill>
              <a:srgbClr val="FF0000"/>
            </a:solidFill>
          </a:endParaRPr>
        </a:p>
        <a:p>
          <a:pPr algn="l"/>
          <a:r>
            <a:rPr kumimoji="1" lang="ja-JP" altLang="en-US" sz="1100">
              <a:solidFill>
                <a:srgbClr val="FF0000"/>
              </a:solidFill>
            </a:rPr>
            <a:t>入力してください！</a:t>
          </a:r>
          <a:endParaRPr kumimoji="1" lang="en-US" altLang="ja-JP" sz="1100">
            <a:solidFill>
              <a:srgbClr val="FF0000"/>
            </a:solidFill>
          </a:endParaRPr>
        </a:p>
        <a:p>
          <a:pPr algn="l"/>
          <a:r>
            <a:rPr kumimoji="1" lang="ja-JP" altLang="en-US" sz="1100">
              <a:solidFill>
                <a:srgbClr val="FF0000"/>
              </a:solidFill>
            </a:rPr>
            <a:t>数字は前年度のままになっています。</a:t>
          </a:r>
          <a:endParaRPr kumimoji="1" lang="en-US" altLang="ja-JP" sz="1100">
            <a:solidFill>
              <a:srgbClr val="FF0000"/>
            </a:solidFill>
          </a:endParaRPr>
        </a:p>
        <a:p>
          <a:pPr algn="l"/>
          <a:r>
            <a:rPr kumimoji="1" lang="ja-JP" altLang="en-US" sz="1100">
              <a:solidFill>
                <a:srgbClr val="FF0000"/>
              </a:solidFill>
            </a:rPr>
            <a:t>増減の大きいものを入れてください。</a:t>
          </a:r>
          <a:endParaRPr kumimoji="1" lang="en-US" altLang="ja-JP" sz="1100">
            <a:solidFill>
              <a:srgbClr val="FF0000"/>
            </a:solidFill>
          </a:endParaRPr>
        </a:p>
        <a:p>
          <a:pPr algn="l"/>
          <a:r>
            <a:rPr kumimoji="1" lang="ja-JP" altLang="en-US" sz="1100">
              <a:solidFill>
                <a:srgbClr val="FF0000"/>
              </a:solidFill>
            </a:rPr>
            <a:t>入力後は青字⇒赤字へ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140804</xdr:colOff>
      <xdr:row>0</xdr:row>
      <xdr:rowOff>124239</xdr:rowOff>
    </xdr:from>
    <xdr:to>
      <xdr:col>17</xdr:col>
      <xdr:colOff>579782</xdr:colOff>
      <xdr:row>2</xdr:row>
      <xdr:rowOff>342901</xdr:rowOff>
    </xdr:to>
    <xdr:sp macro="" textlink="">
      <xdr:nvSpPr>
        <xdr:cNvPr id="2" name="角丸四角形 1"/>
        <xdr:cNvSpPr/>
      </xdr:nvSpPr>
      <xdr:spPr bwMode="auto">
        <a:xfrm>
          <a:off x="8663608" y="124239"/>
          <a:ext cx="1921565" cy="1013792"/>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t>H27</a:t>
          </a:r>
          <a:r>
            <a:rPr kumimoji="1" lang="ja-JP" altLang="en-US" sz="1100"/>
            <a:t>～構成比は予算書と合わせるという整理となった（予算書では</a:t>
          </a:r>
          <a:r>
            <a:rPr kumimoji="1" lang="en-US" altLang="ja-JP" sz="1100"/>
            <a:t>100</a:t>
          </a:r>
          <a:r>
            <a:rPr kumimoji="1" lang="ja-JP" altLang="en-US" sz="1100"/>
            <a:t>に合うよう端数調整が行われている場合あり）</a:t>
          </a:r>
        </a:p>
      </xdr:txBody>
    </xdr:sp>
    <xdr:clientData/>
  </xdr:twoCellAnchor>
  <xdr:twoCellAnchor>
    <xdr:from>
      <xdr:col>16</xdr:col>
      <xdr:colOff>147430</xdr:colOff>
      <xdr:row>3</xdr:row>
      <xdr:rowOff>53147</xdr:rowOff>
    </xdr:from>
    <xdr:to>
      <xdr:col>17</xdr:col>
      <xdr:colOff>643558</xdr:colOff>
      <xdr:row>5</xdr:row>
      <xdr:rowOff>272913</xdr:rowOff>
    </xdr:to>
    <xdr:sp macro="" textlink="">
      <xdr:nvSpPr>
        <xdr:cNvPr id="4" name="角丸四角形 3"/>
        <xdr:cNvSpPr/>
      </xdr:nvSpPr>
      <xdr:spPr bwMode="auto">
        <a:xfrm>
          <a:off x="9605755" y="1253297"/>
          <a:ext cx="1982028" cy="1010341"/>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rgbClr val="FF0000"/>
              </a:solidFill>
            </a:rPr>
            <a:t>R4.1.23</a:t>
          </a:r>
          <a:r>
            <a:rPr kumimoji="1" lang="ja-JP" altLang="en-US" sz="1100">
              <a:solidFill>
                <a:srgbClr val="FF0000"/>
              </a:solidFill>
            </a:rPr>
            <a:t>　最終数値入力済</a:t>
          </a:r>
        </a:p>
      </xdr:txBody>
    </xdr:sp>
    <xdr:clientData/>
  </xdr:twoCellAnchor>
  <xdr:twoCellAnchor>
    <xdr:from>
      <xdr:col>14</xdr:col>
      <xdr:colOff>95250</xdr:colOff>
      <xdr:row>5</xdr:row>
      <xdr:rowOff>409575</xdr:rowOff>
    </xdr:from>
    <xdr:to>
      <xdr:col>15</xdr:col>
      <xdr:colOff>561975</xdr:colOff>
      <xdr:row>7</xdr:row>
      <xdr:rowOff>238125</xdr:rowOff>
    </xdr:to>
    <xdr:sp macro="" textlink="">
      <xdr:nvSpPr>
        <xdr:cNvPr id="5" name="正方形/長方形 4"/>
        <xdr:cNvSpPr/>
      </xdr:nvSpPr>
      <xdr:spPr bwMode="auto">
        <a:xfrm>
          <a:off x="7172325" y="2400300"/>
          <a:ext cx="1657350" cy="666750"/>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en-US" altLang="ja-JP" sz="1100"/>
        </a:p>
        <a:p>
          <a:pPr algn="l"/>
          <a:r>
            <a:rPr kumimoji="1" lang="ja-JP" altLang="en-US" sz="1100"/>
            <a:t>　＋（プラス記号）は、全角　　にしてね♪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253733</xdr:colOff>
      <xdr:row>19</xdr:row>
      <xdr:rowOff>15288</xdr:rowOff>
    </xdr:from>
    <xdr:to>
      <xdr:col>27</xdr:col>
      <xdr:colOff>244208</xdr:colOff>
      <xdr:row>57</xdr:row>
      <xdr:rowOff>102053</xdr:rowOff>
    </xdr:to>
    <xdr:graphicFrame macro="">
      <xdr:nvGraphicFramePr>
        <xdr:cNvPr id="287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83484</xdr:colOff>
      <xdr:row>4</xdr:row>
      <xdr:rowOff>0</xdr:rowOff>
    </xdr:from>
    <xdr:to>
      <xdr:col>25</xdr:col>
      <xdr:colOff>142875</xdr:colOff>
      <xdr:row>14</xdr:row>
      <xdr:rowOff>0</xdr:rowOff>
    </xdr:to>
    <xdr:graphicFrame macro="">
      <xdr:nvGraphicFramePr>
        <xdr:cNvPr id="28757"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268702</xdr:colOff>
      <xdr:row>30</xdr:row>
      <xdr:rowOff>962</xdr:rowOff>
    </xdr:from>
    <xdr:to>
      <xdr:col>9</xdr:col>
      <xdr:colOff>156642</xdr:colOff>
      <xdr:row>32</xdr:row>
      <xdr:rowOff>12168</xdr:rowOff>
    </xdr:to>
    <xdr:sp macro="" textlink="">
      <xdr:nvSpPr>
        <xdr:cNvPr id="28760" name="Line 4"/>
        <xdr:cNvSpPr>
          <a:spLocks noChangeShapeType="1"/>
        </xdr:cNvSpPr>
      </xdr:nvSpPr>
      <xdr:spPr bwMode="auto">
        <a:xfrm>
          <a:off x="2509878" y="6377109"/>
          <a:ext cx="168088" cy="3922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233965</xdr:colOff>
      <xdr:row>30</xdr:row>
      <xdr:rowOff>13527</xdr:rowOff>
    </xdr:from>
    <xdr:to>
      <xdr:col>7</xdr:col>
      <xdr:colOff>170733</xdr:colOff>
      <xdr:row>33</xdr:row>
      <xdr:rowOff>150398</xdr:rowOff>
    </xdr:to>
    <xdr:sp macro="" textlink="">
      <xdr:nvSpPr>
        <xdr:cNvPr id="28761" name="Line 5"/>
        <xdr:cNvSpPr>
          <a:spLocks noChangeShapeType="1"/>
        </xdr:cNvSpPr>
      </xdr:nvSpPr>
      <xdr:spPr bwMode="auto">
        <a:xfrm>
          <a:off x="1354553" y="6389674"/>
          <a:ext cx="777209" cy="70837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7847</xdr:colOff>
      <xdr:row>21</xdr:row>
      <xdr:rowOff>43705</xdr:rowOff>
    </xdr:from>
    <xdr:to>
      <xdr:col>15</xdr:col>
      <xdr:colOff>268946</xdr:colOff>
      <xdr:row>30</xdr:row>
      <xdr:rowOff>138952</xdr:rowOff>
    </xdr:to>
    <xdr:cxnSp macro="">
      <xdr:nvCxnSpPr>
        <xdr:cNvPr id="28762" name="AutoShape 6"/>
        <xdr:cNvCxnSpPr>
          <a:cxnSpLocks noChangeShapeType="1"/>
        </xdr:cNvCxnSpPr>
      </xdr:nvCxnSpPr>
      <xdr:spPr bwMode="auto">
        <a:xfrm rot="5400000" flipH="1" flipV="1">
          <a:off x="3015508" y="5059456"/>
          <a:ext cx="1809747" cy="1101540"/>
        </a:xfrm>
        <a:prstGeom prst="bentConnector3">
          <a:avLst>
            <a:gd name="adj1" fmla="val 10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112060</xdr:colOff>
      <xdr:row>48</xdr:row>
      <xdr:rowOff>22414</xdr:rowOff>
    </xdr:from>
    <xdr:to>
      <xdr:col>5</xdr:col>
      <xdr:colOff>22413</xdr:colOff>
      <xdr:row>48</xdr:row>
      <xdr:rowOff>67237</xdr:rowOff>
    </xdr:to>
    <xdr:sp macro="" textlink="">
      <xdr:nvSpPr>
        <xdr:cNvPr id="7" name="Line 4"/>
        <xdr:cNvSpPr>
          <a:spLocks noChangeShapeType="1"/>
        </xdr:cNvSpPr>
      </xdr:nvSpPr>
      <xdr:spPr bwMode="auto">
        <a:xfrm>
          <a:off x="1232648" y="9827561"/>
          <a:ext cx="190500" cy="448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28</xdr:col>
      <xdr:colOff>649940</xdr:colOff>
      <xdr:row>1</xdr:row>
      <xdr:rowOff>145677</xdr:rowOff>
    </xdr:from>
    <xdr:to>
      <xdr:col>32</xdr:col>
      <xdr:colOff>370167</xdr:colOff>
      <xdr:row>4</xdr:row>
      <xdr:rowOff>116168</xdr:rowOff>
    </xdr:to>
    <xdr:sp macro="" textlink="">
      <xdr:nvSpPr>
        <xdr:cNvPr id="8" name="角丸四角形 7"/>
        <xdr:cNvSpPr/>
      </xdr:nvSpPr>
      <xdr:spPr bwMode="auto">
        <a:xfrm>
          <a:off x="8494058" y="605118"/>
          <a:ext cx="2051050" cy="654050"/>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rgbClr val="FF0000"/>
              </a:solidFill>
            </a:rPr>
            <a:t>R6.1.22</a:t>
          </a:r>
          <a:r>
            <a:rPr kumimoji="1" lang="ja-JP" altLang="en-US" sz="1100">
              <a:solidFill>
                <a:srgbClr val="FF0000"/>
              </a:solidFill>
            </a:rPr>
            <a:t>ー　最終数値入力済</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5</xdr:col>
      <xdr:colOff>150158</xdr:colOff>
      <xdr:row>53</xdr:row>
      <xdr:rowOff>2242</xdr:rowOff>
    </xdr:from>
    <xdr:to>
      <xdr:col>7</xdr:col>
      <xdr:colOff>45383</xdr:colOff>
      <xdr:row>54</xdr:row>
      <xdr:rowOff>175372</xdr:rowOff>
    </xdr:to>
    <xdr:sp macro="" textlink="">
      <xdr:nvSpPr>
        <xdr:cNvPr id="13" name="Line 4"/>
        <xdr:cNvSpPr>
          <a:spLocks noChangeShapeType="1"/>
        </xdr:cNvSpPr>
      </xdr:nvSpPr>
      <xdr:spPr bwMode="auto">
        <a:xfrm flipV="1">
          <a:off x="1550893" y="10748683"/>
          <a:ext cx="455519"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22412</xdr:colOff>
      <xdr:row>41</xdr:row>
      <xdr:rowOff>100853</xdr:rowOff>
    </xdr:from>
    <xdr:to>
      <xdr:col>4</xdr:col>
      <xdr:colOff>197222</xdr:colOff>
      <xdr:row>41</xdr:row>
      <xdr:rowOff>158003</xdr:rowOff>
    </xdr:to>
    <xdr:sp macro="" textlink="">
      <xdr:nvSpPr>
        <xdr:cNvPr id="10" name="Line 4"/>
        <xdr:cNvSpPr>
          <a:spLocks noChangeShapeType="1"/>
        </xdr:cNvSpPr>
      </xdr:nvSpPr>
      <xdr:spPr bwMode="auto">
        <a:xfrm>
          <a:off x="1143000" y="8572500"/>
          <a:ext cx="174810" cy="57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0.60543</cdr:x>
      <cdr:y>0.00508</cdr:y>
    </cdr:from>
    <cdr:to>
      <cdr:x>0.60543</cdr:x>
      <cdr:y>0.00508</cdr:y>
    </cdr:to>
    <cdr:sp macro="" textlink="">
      <cdr:nvSpPr>
        <cdr:cNvPr id="32769" name="Text Box 1"/>
        <cdr:cNvSpPr txBox="1">
          <a:spLocks xmlns:a="http://schemas.openxmlformats.org/drawingml/2006/main" noChangeArrowheads="1"/>
        </cdr:cNvSpPr>
      </cdr:nvSpPr>
      <cdr:spPr bwMode="auto">
        <a:xfrm xmlns:a="http://schemas.openxmlformats.org/drawingml/2006/main">
          <a:off x="4662676" y="50800"/>
          <a:ext cx="0" cy="0"/>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繰入金　　　　　　　　　 　　　　</a:t>
          </a:r>
          <a:r>
            <a:rPr lang="en-US" altLang="ja-JP" sz="1075" b="0" i="0" u="none" strike="noStrike" baseline="0">
              <a:solidFill>
                <a:srgbClr val="000000"/>
              </a:solidFill>
              <a:latin typeface="ＭＳ Ｐゴシック"/>
              <a:ea typeface="ＭＳ Ｐゴシック"/>
            </a:rPr>
            <a:t>1,100,000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1.4%</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繰越金　　　　　　　　　　　　　 </a:t>
          </a:r>
          <a:r>
            <a:rPr lang="en-US" altLang="ja-JP" sz="1075" b="0" i="0" u="none" strike="noStrike" baseline="0">
              <a:solidFill>
                <a:srgbClr val="000000"/>
              </a:solidFill>
              <a:latin typeface="ＭＳ Ｐゴシック"/>
              <a:ea typeface="ＭＳ Ｐゴシック"/>
            </a:rPr>
            <a:t>1,000,000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1.3%</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使用料及び手数料　　　　　　　</a:t>
          </a:r>
          <a:r>
            <a:rPr lang="en-US" altLang="ja-JP" sz="1075" b="0" i="0" u="none" strike="noStrike" baseline="0">
              <a:solidFill>
                <a:srgbClr val="000000"/>
              </a:solidFill>
              <a:latin typeface="ＭＳ Ｐゴシック"/>
              <a:ea typeface="ＭＳ Ｐゴシック"/>
            </a:rPr>
            <a:t>886,980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1.2%</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地方譲与税　　　　　　　 　　　　</a:t>
          </a:r>
          <a:r>
            <a:rPr lang="en-US" altLang="ja-JP" sz="1075" b="0" i="0" u="none" strike="noStrike" baseline="0">
              <a:solidFill>
                <a:srgbClr val="000000"/>
              </a:solidFill>
              <a:latin typeface="ＭＳ Ｐゴシック"/>
              <a:ea typeface="ＭＳ Ｐゴシック"/>
            </a:rPr>
            <a:t>840,000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地方交付税 　　　　　　　　　　　</a:t>
          </a:r>
          <a:r>
            <a:rPr lang="en-US" altLang="ja-JP" sz="1075" b="0" i="0" u="none" strike="noStrike" baseline="0">
              <a:solidFill>
                <a:srgbClr val="000000"/>
              </a:solidFill>
              <a:latin typeface="ＭＳ Ｐゴシック"/>
              <a:ea typeface="ＭＳ Ｐゴシック"/>
            </a:rPr>
            <a:t>600,000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0.8%</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地方特例交付金　　　　　　　　 </a:t>
          </a:r>
          <a:r>
            <a:rPr lang="en-US" altLang="ja-JP" sz="1075" b="0" i="0" u="none" strike="noStrike" baseline="0">
              <a:solidFill>
                <a:srgbClr val="000000"/>
              </a:solidFill>
              <a:latin typeface="ＭＳ Ｐゴシック"/>
              <a:ea typeface="ＭＳ Ｐゴシック"/>
            </a:rPr>
            <a:t>540,000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0.7%</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自動車取得税交付金　　　　　 </a:t>
          </a:r>
          <a:r>
            <a:rPr lang="en-US" altLang="ja-JP" sz="1075" b="0" i="0" u="none" strike="noStrike" baseline="0">
              <a:solidFill>
                <a:srgbClr val="000000"/>
              </a:solidFill>
              <a:latin typeface="ＭＳ Ｐゴシック"/>
              <a:ea typeface="ＭＳ Ｐゴシック"/>
            </a:rPr>
            <a:t>300,010  </a:t>
          </a:r>
          <a:r>
            <a:rPr lang="ja-JP" altLang="en-US" sz="1075" b="0" i="0" u="none" strike="noStrike" baseline="0">
              <a:solidFill>
                <a:srgbClr val="000000"/>
              </a:solidFill>
              <a:latin typeface="ＭＳ Ｐゴシック"/>
              <a:ea typeface="ＭＳ Ｐゴシック"/>
            </a:rPr>
            <a:t>（</a:t>
          </a:r>
          <a:r>
            <a:rPr lang="en-US" altLang="ja-JP" sz="1075" b="0" i="0" u="none" strike="noStrike" baseline="0">
              <a:solidFill>
                <a:srgbClr val="000000"/>
              </a:solidFill>
              <a:latin typeface="ＭＳ Ｐゴシック"/>
              <a:ea typeface="ＭＳ Ｐゴシック"/>
            </a:rPr>
            <a:t>0.4%</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利子割交付金　　　　　　　　　　</a:t>
          </a:r>
          <a:r>
            <a:rPr lang="en-US" altLang="ja-JP" sz="1075" b="0" i="0" u="none" strike="noStrike" baseline="0">
              <a:solidFill>
                <a:srgbClr val="000000"/>
              </a:solidFill>
              <a:latin typeface="ＭＳ Ｐゴシック"/>
              <a:ea typeface="ＭＳ Ｐゴシック"/>
            </a:rPr>
            <a:t>150,000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0.2%</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財産収入　　　　　　　　　　　　　 </a:t>
          </a:r>
          <a:r>
            <a:rPr lang="en-US" altLang="ja-JP" sz="1075" b="0" i="0" u="none" strike="noStrike" baseline="0">
              <a:solidFill>
                <a:srgbClr val="000000"/>
              </a:solidFill>
              <a:latin typeface="ＭＳ Ｐゴシック"/>
              <a:ea typeface="ＭＳ Ｐゴシック"/>
            </a:rPr>
            <a:t>78,300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交通安全対策特別交付金　　　</a:t>
          </a:r>
          <a:r>
            <a:rPr lang="en-US" altLang="ja-JP" sz="1075" b="0" i="0" u="none" strike="noStrike" baseline="0">
              <a:solidFill>
                <a:srgbClr val="000000"/>
              </a:solidFill>
              <a:latin typeface="ＭＳ Ｐゴシック"/>
              <a:ea typeface="ＭＳ Ｐゴシック"/>
            </a:rPr>
            <a:t>60,000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配当割交付金　　　　　　　　　　 </a:t>
          </a:r>
          <a:r>
            <a:rPr lang="en-US" altLang="ja-JP" sz="1075" b="0" i="0" u="none" strike="noStrike" baseline="0">
              <a:solidFill>
                <a:srgbClr val="000000"/>
              </a:solidFill>
              <a:latin typeface="ＭＳ Ｐゴシック"/>
              <a:ea typeface="ＭＳ Ｐゴシック"/>
            </a:rPr>
            <a:t>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株式譲渡所得割交付金　　　　 </a:t>
          </a:r>
          <a:r>
            <a:rPr lang="en-US" altLang="ja-JP" sz="1075" b="0" i="0" u="none" strike="noStrike" baseline="0">
              <a:solidFill>
                <a:srgbClr val="000000"/>
              </a:solidFill>
              <a:latin typeface="ＭＳ Ｐゴシック"/>
              <a:ea typeface="ＭＳ Ｐゴシック"/>
            </a:rPr>
            <a:t>30,000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0.0%</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寄附金　　　　　　　　　　　　　　　　 　</a:t>
          </a:r>
          <a:r>
            <a:rPr lang="en-US" altLang="ja-JP" sz="1075" b="0" i="0" u="none" strike="noStrike" baseline="0">
              <a:solidFill>
                <a:srgbClr val="000000"/>
              </a:solidFill>
              <a:latin typeface="ＭＳ Ｐゴシック"/>
              <a:ea typeface="ＭＳ Ｐゴシック"/>
            </a:rPr>
            <a:t>20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0.0%</a:t>
          </a:r>
          <a:r>
            <a:rPr lang="ja-JP" altLang="en-US" sz="1075"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0.35556</cdr:x>
      <cdr:y>0.55864</cdr:y>
    </cdr:from>
    <cdr:to>
      <cdr:x>0.57806</cdr:x>
      <cdr:y>0.7115</cdr:y>
    </cdr:to>
    <cdr:sp macro="" textlink="">
      <cdr:nvSpPr>
        <cdr:cNvPr id="2" name="正方形/長方形 1"/>
        <cdr:cNvSpPr/>
      </cdr:nvSpPr>
      <cdr:spPr bwMode="auto">
        <a:xfrm xmlns:a="http://schemas.openxmlformats.org/drawingml/2006/main">
          <a:off x="2686050" y="4054289"/>
          <a:ext cx="1680882" cy="1109382"/>
        </a:xfrm>
        <a:prstGeom xmlns:a="http://schemas.openxmlformats.org/drawingml/2006/main" prst="rect">
          <a:avLst/>
        </a:prstGeom>
        <a:solidFill xmlns:a="http://schemas.openxmlformats.org/drawingml/2006/main">
          <a:schemeClr val="bg1"/>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2000">
              <a:latin typeface="BIZ UDゴシック" panose="020B0400000000000000" pitchFamily="49" charset="-128"/>
              <a:ea typeface="BIZ UDゴシック" panose="020B0400000000000000" pitchFamily="49" charset="-128"/>
            </a:rPr>
            <a:t>合計</a:t>
          </a:r>
          <a:endParaRPr lang="en-US" altLang="ja-JP" sz="2000">
            <a:latin typeface="BIZ UDゴシック" panose="020B0400000000000000" pitchFamily="49" charset="-128"/>
            <a:ea typeface="BIZ UDゴシック" panose="020B0400000000000000" pitchFamily="49" charset="-128"/>
          </a:endParaRPr>
        </a:p>
        <a:p xmlns:a="http://schemas.openxmlformats.org/drawingml/2006/main">
          <a:pPr algn="ctr"/>
          <a:r>
            <a:rPr lang="en-US" altLang="ja-JP" sz="2000">
              <a:latin typeface="BIZ UDゴシック" panose="020B0400000000000000" pitchFamily="49" charset="-128"/>
              <a:ea typeface="BIZ UDゴシック" panose="020B0400000000000000" pitchFamily="49" charset="-128"/>
            </a:rPr>
            <a:t>115,700,000</a:t>
          </a:r>
        </a:p>
        <a:p xmlns:a="http://schemas.openxmlformats.org/drawingml/2006/main">
          <a:pPr algn="ctr"/>
          <a:r>
            <a:rPr lang="en-US" altLang="ja-JP" sz="2000">
              <a:latin typeface="BIZ UDゴシック" panose="020B0400000000000000" pitchFamily="49" charset="-128"/>
              <a:ea typeface="BIZ UDゴシック" panose="020B0400000000000000" pitchFamily="49" charset="-128"/>
            </a:rPr>
            <a:t>100</a:t>
          </a:r>
          <a:r>
            <a:rPr lang="ja-JP" altLang="en-US" sz="2000">
              <a:latin typeface="BIZ UDゴシック" panose="020B0400000000000000" pitchFamily="49" charset="-128"/>
              <a:ea typeface="BIZ UDゴシック" panose="020B0400000000000000" pitchFamily="49" charset="-128"/>
            </a:rPr>
            <a:t>％</a:t>
          </a:r>
          <a:endParaRPr lang="ja-JP" sz="2000">
            <a:latin typeface="BIZ UDゴシック" panose="020B0400000000000000" pitchFamily="49" charset="-128"/>
            <a:ea typeface="BIZ UDゴシック" panose="020B0400000000000000" pitchFamily="49" charset="-128"/>
          </a:endParaRPr>
        </a:p>
      </cdr:txBody>
    </cdr:sp>
  </cdr:relSizeAnchor>
  <cdr:relSizeAnchor xmlns:cdr="http://schemas.openxmlformats.org/drawingml/2006/chartDrawing">
    <cdr:from>
      <cdr:x>0.09091</cdr:x>
      <cdr:y>0.41948</cdr:y>
    </cdr:from>
    <cdr:to>
      <cdr:x>0.18289</cdr:x>
      <cdr:y>0.47044</cdr:y>
    </cdr:to>
    <cdr:sp macro="" textlink="">
      <cdr:nvSpPr>
        <cdr:cNvPr id="4" name="Line 4"/>
        <cdr:cNvSpPr>
          <a:spLocks xmlns:a="http://schemas.openxmlformats.org/drawingml/2006/main" noChangeShapeType="1"/>
        </cdr:cNvSpPr>
      </cdr:nvSpPr>
      <cdr:spPr bwMode="auto">
        <a:xfrm xmlns:a="http://schemas.openxmlformats.org/drawingml/2006/main">
          <a:off x="692863" y="3049511"/>
          <a:ext cx="701043" cy="37046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14</xdr:col>
      <xdr:colOff>85725</xdr:colOff>
      <xdr:row>0</xdr:row>
      <xdr:rowOff>98425</xdr:rowOff>
    </xdr:from>
    <xdr:to>
      <xdr:col>16</xdr:col>
      <xdr:colOff>327025</xdr:colOff>
      <xdr:row>1</xdr:row>
      <xdr:rowOff>352425</xdr:rowOff>
    </xdr:to>
    <xdr:sp macro="" textlink="">
      <xdr:nvSpPr>
        <xdr:cNvPr id="2" name="角丸四角形 1"/>
        <xdr:cNvSpPr/>
      </xdr:nvSpPr>
      <xdr:spPr bwMode="auto">
        <a:xfrm>
          <a:off x="7162800" y="98425"/>
          <a:ext cx="2051050" cy="654050"/>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chemeClr val="bg1"/>
              </a:solidFill>
              <a:effectLst/>
              <a:latin typeface="+mn-lt"/>
              <a:ea typeface="+mn-ea"/>
              <a:cs typeface="+mn-cs"/>
            </a:rPr>
            <a:t>R6.1.22</a:t>
          </a:r>
          <a:r>
            <a:rPr kumimoji="1" lang="ja-JP" altLang="ja-JP" sz="1100">
              <a:solidFill>
                <a:schemeClr val="bg1"/>
              </a:solidFill>
              <a:effectLst/>
              <a:latin typeface="+mn-lt"/>
              <a:ea typeface="+mn-ea"/>
              <a:cs typeface="+mn-cs"/>
            </a:rPr>
            <a:t>　最終数値入力済</a:t>
          </a:r>
          <a:endParaRPr kumimoji="1" lang="ja-JP" altLang="en-US" sz="1100">
            <a:solidFill>
              <a:schemeClr val="bg1"/>
            </a:solidFill>
          </a:endParaRPr>
        </a:p>
      </xdr:txBody>
    </xdr:sp>
    <xdr:clientData/>
  </xdr:twoCellAnchor>
  <xdr:twoCellAnchor>
    <xdr:from>
      <xdr:col>14</xdr:col>
      <xdr:colOff>152401</xdr:colOff>
      <xdr:row>5</xdr:row>
      <xdr:rowOff>333375</xdr:rowOff>
    </xdr:from>
    <xdr:to>
      <xdr:col>16</xdr:col>
      <xdr:colOff>1</xdr:colOff>
      <xdr:row>7</xdr:row>
      <xdr:rowOff>161925</xdr:rowOff>
    </xdr:to>
    <xdr:sp macro="" textlink="">
      <xdr:nvSpPr>
        <xdr:cNvPr id="3" name="正方形/長方形 2"/>
        <xdr:cNvSpPr/>
      </xdr:nvSpPr>
      <xdr:spPr bwMode="auto">
        <a:xfrm>
          <a:off x="7229476" y="2324100"/>
          <a:ext cx="1657350" cy="666750"/>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en-US" altLang="ja-JP" sz="1100"/>
        </a:p>
        <a:p>
          <a:pPr algn="l"/>
          <a:r>
            <a:rPr kumimoji="1" lang="ja-JP" altLang="en-US" sz="1100"/>
            <a:t>　＋（プラス記号）は、</a:t>
          </a:r>
          <a:r>
            <a:rPr kumimoji="1" lang="ja-JP" altLang="en-US" sz="1100">
              <a:solidFill>
                <a:srgbClr val="FF0000"/>
              </a:solidFill>
            </a:rPr>
            <a:t>全角</a:t>
          </a:r>
          <a:r>
            <a:rPr kumimoji="1" lang="ja-JP" altLang="en-US" sz="1100"/>
            <a:t>　　にしてね♪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36418</xdr:rowOff>
    </xdr:from>
    <xdr:to>
      <xdr:col>28</xdr:col>
      <xdr:colOff>3175</xdr:colOff>
      <xdr:row>50</xdr:row>
      <xdr:rowOff>198343</xdr:rowOff>
    </xdr:to>
    <xdr:graphicFrame macro="">
      <xdr:nvGraphicFramePr>
        <xdr:cNvPr id="3184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85724</xdr:colOff>
      <xdr:row>14</xdr:row>
      <xdr:rowOff>47625</xdr:rowOff>
    </xdr:from>
    <xdr:to>
      <xdr:col>13</xdr:col>
      <xdr:colOff>95249</xdr:colOff>
      <xdr:row>16</xdr:row>
      <xdr:rowOff>47625</xdr:rowOff>
    </xdr:to>
    <xdr:sp macro="" textlink="">
      <xdr:nvSpPr>
        <xdr:cNvPr id="31848" name="Line 6"/>
        <xdr:cNvSpPr>
          <a:spLocks noChangeShapeType="1"/>
        </xdr:cNvSpPr>
      </xdr:nvSpPr>
      <xdr:spPr bwMode="auto">
        <a:xfrm>
          <a:off x="3676649" y="3133725"/>
          <a:ext cx="952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168088</xdr:colOff>
      <xdr:row>10</xdr:row>
      <xdr:rowOff>44824</xdr:rowOff>
    </xdr:from>
    <xdr:to>
      <xdr:col>18</xdr:col>
      <xdr:colOff>212912</xdr:colOff>
      <xdr:row>13</xdr:row>
      <xdr:rowOff>22412</xdr:rowOff>
    </xdr:to>
    <xdr:cxnSp macro="">
      <xdr:nvCxnSpPr>
        <xdr:cNvPr id="31849" name="AutoShape 7"/>
        <xdr:cNvCxnSpPr>
          <a:cxnSpLocks noChangeShapeType="1"/>
        </xdr:cNvCxnSpPr>
      </xdr:nvCxnSpPr>
      <xdr:spPr bwMode="auto">
        <a:xfrm flipV="1">
          <a:off x="4090147" y="2297206"/>
          <a:ext cx="1165412" cy="649941"/>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87211</xdr:colOff>
      <xdr:row>7</xdr:row>
      <xdr:rowOff>36541</xdr:rowOff>
    </xdr:from>
    <xdr:to>
      <xdr:col>37</xdr:col>
      <xdr:colOff>577834</xdr:colOff>
      <xdr:row>13</xdr:row>
      <xdr:rowOff>182217</xdr:rowOff>
    </xdr:to>
    <xdr:sp macro="" textlink="">
      <xdr:nvSpPr>
        <xdr:cNvPr id="2" name="テキスト ボックス 1"/>
        <xdr:cNvSpPr txBox="1"/>
      </xdr:nvSpPr>
      <xdr:spPr>
        <a:xfrm>
          <a:off x="9048994" y="1568824"/>
          <a:ext cx="2826318" cy="1437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H29</a:t>
          </a:r>
          <a:r>
            <a:rPr kumimoji="1" lang="ja-JP" altLang="en-US" sz="1400"/>
            <a:t>当初予算～</a:t>
          </a:r>
          <a:endParaRPr kumimoji="1" lang="en-US" altLang="ja-JP" sz="1400"/>
        </a:p>
        <a:p>
          <a:endParaRPr kumimoji="1" lang="en-US" altLang="ja-JP" sz="14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a:t>
          </a:r>
          <a:r>
            <a:rPr kumimoji="1" lang="ja-JP" altLang="en-US" sz="1200"/>
            <a:t>構成比順に並べることとした</a:t>
          </a:r>
          <a:endParaRPr kumimoji="1" lang="en-US" altLang="ja-JP" sz="1200"/>
        </a:p>
        <a:p>
          <a:r>
            <a:rPr kumimoji="1" lang="ja-JP" altLang="en-US" sz="1200"/>
            <a:t>●</a:t>
          </a:r>
          <a:r>
            <a:rPr kumimoji="1" lang="en-US" altLang="ja-JP" sz="1200"/>
            <a:t>10</a:t>
          </a:r>
          <a:r>
            <a:rPr kumimoji="1" lang="ja-JP" altLang="en-US" sz="1200"/>
            <a:t>億円以下は、「その他」とする</a:t>
          </a:r>
        </a:p>
      </xdr:txBody>
    </xdr:sp>
    <xdr:clientData/>
  </xdr:twoCellAnchor>
  <xdr:twoCellAnchor>
    <xdr:from>
      <xdr:col>31</xdr:col>
      <xdr:colOff>33618</xdr:colOff>
      <xdr:row>1</xdr:row>
      <xdr:rowOff>22412</xdr:rowOff>
    </xdr:from>
    <xdr:to>
      <xdr:col>35</xdr:col>
      <xdr:colOff>560668</xdr:colOff>
      <xdr:row>4</xdr:row>
      <xdr:rowOff>4110</xdr:rowOff>
    </xdr:to>
    <xdr:sp macro="" textlink="">
      <xdr:nvSpPr>
        <xdr:cNvPr id="6" name="角丸四角形 5"/>
        <xdr:cNvSpPr/>
      </xdr:nvSpPr>
      <xdr:spPr bwMode="auto">
        <a:xfrm>
          <a:off x="8662147" y="257736"/>
          <a:ext cx="2051050" cy="654050"/>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rgbClr val="FF0000"/>
              </a:solidFill>
            </a:rPr>
            <a:t>R6.1.22</a:t>
          </a:r>
          <a:r>
            <a:rPr kumimoji="1" lang="ja-JP" altLang="en-US" sz="1100">
              <a:solidFill>
                <a:srgbClr val="FF0000"/>
              </a:solidFill>
            </a:rPr>
            <a:t>　最終数値入力済</a:t>
          </a:r>
        </a:p>
      </xdr:txBody>
    </xdr:sp>
    <xdr:clientData/>
  </xdr:twoCellAnchor>
  <xdr:twoCellAnchor>
    <xdr:from>
      <xdr:col>10</xdr:col>
      <xdr:colOff>9524</xdr:colOff>
      <xdr:row>13</xdr:row>
      <xdr:rowOff>57150</xdr:rowOff>
    </xdr:from>
    <xdr:to>
      <xdr:col>11</xdr:col>
      <xdr:colOff>114300</xdr:colOff>
      <xdr:row>15</xdr:row>
      <xdr:rowOff>161925</xdr:rowOff>
    </xdr:to>
    <xdr:sp macro="" textlink="">
      <xdr:nvSpPr>
        <xdr:cNvPr id="8" name="Line 6"/>
        <xdr:cNvSpPr>
          <a:spLocks noChangeShapeType="1"/>
        </xdr:cNvSpPr>
      </xdr:nvSpPr>
      <xdr:spPr bwMode="auto">
        <a:xfrm>
          <a:off x="2771774" y="2809875"/>
          <a:ext cx="381001"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c:userShapes xmlns:c="http://schemas.openxmlformats.org/drawingml/2006/chart">
  <cdr:relSizeAnchor xmlns:cdr="http://schemas.openxmlformats.org/drawingml/2006/chartDrawing">
    <cdr:from>
      <cdr:x>0.60543</cdr:x>
      <cdr:y>0.00508</cdr:y>
    </cdr:from>
    <cdr:to>
      <cdr:x>0.60543</cdr:x>
      <cdr:y>0.00508</cdr:y>
    </cdr:to>
    <cdr:sp macro="" textlink="">
      <cdr:nvSpPr>
        <cdr:cNvPr id="32769" name="Text Box 1"/>
        <cdr:cNvSpPr txBox="1">
          <a:spLocks xmlns:a="http://schemas.openxmlformats.org/drawingml/2006/main" noChangeArrowheads="1"/>
        </cdr:cNvSpPr>
      </cdr:nvSpPr>
      <cdr:spPr bwMode="auto">
        <a:xfrm xmlns:a="http://schemas.openxmlformats.org/drawingml/2006/main">
          <a:off x="4662676" y="50800"/>
          <a:ext cx="0" cy="0"/>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繰入金　　　　　　　　　 　　　　</a:t>
          </a:r>
          <a:r>
            <a:rPr lang="en-US" altLang="ja-JP" sz="1075" b="0" i="0" u="none" strike="noStrike" baseline="0">
              <a:solidFill>
                <a:srgbClr val="000000"/>
              </a:solidFill>
              <a:latin typeface="ＭＳ Ｐゴシック"/>
              <a:ea typeface="ＭＳ Ｐゴシック"/>
            </a:rPr>
            <a:t>1,100,000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1.4%</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繰越金　　　　　　　　　　　　　 </a:t>
          </a:r>
          <a:r>
            <a:rPr lang="en-US" altLang="ja-JP" sz="1075" b="0" i="0" u="none" strike="noStrike" baseline="0">
              <a:solidFill>
                <a:srgbClr val="000000"/>
              </a:solidFill>
              <a:latin typeface="ＭＳ Ｐゴシック"/>
              <a:ea typeface="ＭＳ Ｐゴシック"/>
            </a:rPr>
            <a:t>1,000,000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1.3%</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使用料及び手数料　　　　　　　</a:t>
          </a:r>
          <a:r>
            <a:rPr lang="en-US" altLang="ja-JP" sz="1075" b="0" i="0" u="none" strike="noStrike" baseline="0">
              <a:solidFill>
                <a:srgbClr val="000000"/>
              </a:solidFill>
              <a:latin typeface="ＭＳ Ｐゴシック"/>
              <a:ea typeface="ＭＳ Ｐゴシック"/>
            </a:rPr>
            <a:t>886,980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1.2%</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地方譲与税　　　　　　　 　　　　</a:t>
          </a:r>
          <a:r>
            <a:rPr lang="en-US" altLang="ja-JP" sz="1075" b="0" i="0" u="none" strike="noStrike" baseline="0">
              <a:solidFill>
                <a:srgbClr val="000000"/>
              </a:solidFill>
              <a:latin typeface="ＭＳ Ｐゴシック"/>
              <a:ea typeface="ＭＳ Ｐゴシック"/>
            </a:rPr>
            <a:t>840,000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1.1%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地方交付税 　　　　　　　　　　　</a:t>
          </a:r>
          <a:r>
            <a:rPr lang="en-US" altLang="ja-JP" sz="1075" b="0" i="0" u="none" strike="noStrike" baseline="0">
              <a:solidFill>
                <a:srgbClr val="000000"/>
              </a:solidFill>
              <a:latin typeface="ＭＳ Ｐゴシック"/>
              <a:ea typeface="ＭＳ Ｐゴシック"/>
            </a:rPr>
            <a:t>600,000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0.8%</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地方特例交付金　　　　　　　　 </a:t>
          </a:r>
          <a:r>
            <a:rPr lang="en-US" altLang="ja-JP" sz="1075" b="0" i="0" u="none" strike="noStrike" baseline="0">
              <a:solidFill>
                <a:srgbClr val="000000"/>
              </a:solidFill>
              <a:latin typeface="ＭＳ Ｐゴシック"/>
              <a:ea typeface="ＭＳ Ｐゴシック"/>
            </a:rPr>
            <a:t>540,000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0.7%</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自動車取得税交付金　　　　　 </a:t>
          </a:r>
          <a:r>
            <a:rPr lang="en-US" altLang="ja-JP" sz="1075" b="0" i="0" u="none" strike="noStrike" baseline="0">
              <a:solidFill>
                <a:srgbClr val="000000"/>
              </a:solidFill>
              <a:latin typeface="ＭＳ Ｐゴシック"/>
              <a:ea typeface="ＭＳ Ｐゴシック"/>
            </a:rPr>
            <a:t>300,010  </a:t>
          </a:r>
          <a:r>
            <a:rPr lang="ja-JP" altLang="en-US" sz="1075" b="0" i="0" u="none" strike="noStrike" baseline="0">
              <a:solidFill>
                <a:srgbClr val="000000"/>
              </a:solidFill>
              <a:latin typeface="ＭＳ Ｐゴシック"/>
              <a:ea typeface="ＭＳ Ｐゴシック"/>
            </a:rPr>
            <a:t>（</a:t>
          </a:r>
          <a:r>
            <a:rPr lang="en-US" altLang="ja-JP" sz="1075" b="0" i="0" u="none" strike="noStrike" baseline="0">
              <a:solidFill>
                <a:srgbClr val="000000"/>
              </a:solidFill>
              <a:latin typeface="ＭＳ Ｐゴシック"/>
              <a:ea typeface="ＭＳ Ｐゴシック"/>
            </a:rPr>
            <a:t>0.4%</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利子割交付金　　　　　　　　　　</a:t>
          </a:r>
          <a:r>
            <a:rPr lang="en-US" altLang="ja-JP" sz="1075" b="0" i="0" u="none" strike="noStrike" baseline="0">
              <a:solidFill>
                <a:srgbClr val="000000"/>
              </a:solidFill>
              <a:latin typeface="ＭＳ Ｐゴシック"/>
              <a:ea typeface="ＭＳ Ｐゴシック"/>
            </a:rPr>
            <a:t>150,000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0.2%</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財産収入　　　　　　　　　　　　　 </a:t>
          </a:r>
          <a:r>
            <a:rPr lang="en-US" altLang="ja-JP" sz="1075" b="0" i="0" u="none" strike="noStrike" baseline="0">
              <a:solidFill>
                <a:srgbClr val="000000"/>
              </a:solidFill>
              <a:latin typeface="ＭＳ Ｐゴシック"/>
              <a:ea typeface="ＭＳ Ｐゴシック"/>
            </a:rPr>
            <a:t>78,300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交通安全対策特別交付金　　　</a:t>
          </a:r>
          <a:r>
            <a:rPr lang="en-US" altLang="ja-JP" sz="1075" b="0" i="0" u="none" strike="noStrike" baseline="0">
              <a:solidFill>
                <a:srgbClr val="000000"/>
              </a:solidFill>
              <a:latin typeface="ＭＳ Ｐゴシック"/>
              <a:ea typeface="ＭＳ Ｐゴシック"/>
            </a:rPr>
            <a:t>60,000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配当割交付金　　　　　　　　　　 </a:t>
          </a:r>
          <a:r>
            <a:rPr lang="en-US" altLang="ja-JP" sz="1075" b="0" i="0" u="none" strike="noStrike" baseline="0">
              <a:solidFill>
                <a:srgbClr val="000000"/>
              </a:solidFill>
              <a:latin typeface="ＭＳ Ｐゴシック"/>
              <a:ea typeface="ＭＳ Ｐゴシック"/>
            </a:rPr>
            <a:t>40,000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0.1%</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株式譲渡所得割交付金　　　　 </a:t>
          </a:r>
          <a:r>
            <a:rPr lang="en-US" altLang="ja-JP" sz="1075" b="0" i="0" u="none" strike="noStrike" baseline="0">
              <a:solidFill>
                <a:srgbClr val="000000"/>
              </a:solidFill>
              <a:latin typeface="ＭＳ Ｐゴシック"/>
              <a:ea typeface="ＭＳ Ｐゴシック"/>
            </a:rPr>
            <a:t>30,000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0.0%</a:t>
          </a:r>
          <a:r>
            <a:rPr lang="ja-JP" altLang="en-US" sz="1075" b="0" i="0" u="none" strike="noStrike" baseline="0">
              <a:solidFill>
                <a:srgbClr val="000000"/>
              </a:solidFill>
              <a:latin typeface="ＭＳ Ｐゴシック"/>
              <a:ea typeface="ＭＳ Ｐゴシック"/>
            </a:rPr>
            <a:t>）</a:t>
          </a:r>
        </a:p>
        <a:p xmlns:a="http://schemas.openxmlformats.org/drawingml/2006/main">
          <a:pPr algn="l" rtl="0">
            <a:defRPr sz="1000"/>
          </a:pPr>
          <a:r>
            <a:rPr lang="ja-JP" altLang="en-US" sz="1075" b="0" i="0" u="none" strike="noStrike" baseline="0">
              <a:solidFill>
                <a:srgbClr val="000000"/>
              </a:solidFill>
              <a:latin typeface="ＭＳ Ｐゴシック"/>
              <a:ea typeface="ＭＳ Ｐゴシック"/>
            </a:rPr>
            <a:t>寄附金　　　　　　　　　　　　　　　　 　</a:t>
          </a:r>
          <a:r>
            <a:rPr lang="en-US" altLang="ja-JP" sz="1075" b="0" i="0" u="none" strike="noStrike" baseline="0">
              <a:solidFill>
                <a:srgbClr val="000000"/>
              </a:solidFill>
              <a:latin typeface="ＭＳ Ｐゴシック"/>
              <a:ea typeface="ＭＳ Ｐゴシック"/>
            </a:rPr>
            <a:t>20</a:t>
          </a:r>
          <a:r>
            <a:rPr lang="ja-JP" altLang="en-US" sz="1075" b="0" i="0" u="none" strike="noStrike" baseline="0">
              <a:solidFill>
                <a:srgbClr val="000000"/>
              </a:solidFill>
              <a:latin typeface="ＭＳ Ｐゴシック"/>
              <a:ea typeface="ＭＳ Ｐゴシック"/>
            </a:rPr>
            <a:t>　（</a:t>
          </a:r>
          <a:r>
            <a:rPr lang="en-US" altLang="ja-JP" sz="1075" b="0" i="0" u="none" strike="noStrike" baseline="0">
              <a:solidFill>
                <a:srgbClr val="000000"/>
              </a:solidFill>
              <a:latin typeface="ＭＳ Ｐゴシック"/>
              <a:ea typeface="ＭＳ Ｐゴシック"/>
            </a:rPr>
            <a:t>0.0%</a:t>
          </a:r>
          <a:r>
            <a:rPr lang="ja-JP" altLang="en-US" sz="1075"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0.39323</cdr:x>
      <cdr:y>0.44591</cdr:y>
    </cdr:from>
    <cdr:to>
      <cdr:x>0.6119</cdr:x>
      <cdr:y>0.5644</cdr:y>
    </cdr:to>
    <cdr:sp macro="" textlink="">
      <cdr:nvSpPr>
        <cdr:cNvPr id="3" name="正方形/長方形 2"/>
        <cdr:cNvSpPr/>
      </cdr:nvSpPr>
      <cdr:spPr bwMode="auto">
        <a:xfrm xmlns:a="http://schemas.openxmlformats.org/drawingml/2006/main">
          <a:off x="3022600" y="4175125"/>
          <a:ext cx="1680882" cy="1109382"/>
        </a:xfrm>
        <a:prstGeom xmlns:a="http://schemas.openxmlformats.org/drawingml/2006/main" prst="rect">
          <a:avLst/>
        </a:prstGeom>
        <a:solidFill xmlns:a="http://schemas.openxmlformats.org/drawingml/2006/main">
          <a:schemeClr val="bg1"/>
        </a:solidFill>
        <a:ln xmlns:a="http://schemas.openxmlformats.org/drawingml/2006/main" w="9525" cap="flat" cmpd="sng" algn="ctr">
          <a:solidFill>
            <a:schemeClr val="bg1"/>
          </a:soli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a:t>合計</a:t>
          </a:r>
          <a:endParaRPr lang="en-US" altLang="ja-JP" sz="2000"/>
        </a:p>
        <a:p xmlns:a="http://schemas.openxmlformats.org/drawingml/2006/main">
          <a:pPr algn="ctr"/>
          <a:r>
            <a:rPr lang="en-US" altLang="ja-JP" sz="2000"/>
            <a:t>115,700,000</a:t>
          </a:r>
        </a:p>
        <a:p xmlns:a="http://schemas.openxmlformats.org/drawingml/2006/main">
          <a:pPr algn="ctr"/>
          <a:r>
            <a:rPr lang="en-US" altLang="ja-JP" sz="2000"/>
            <a:t>100</a:t>
          </a:r>
          <a:r>
            <a:rPr lang="ja-JP" altLang="en-US" sz="2000"/>
            <a:t>％</a:t>
          </a:r>
          <a:endParaRPr lang="ja-JP" sz="2000"/>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622300</xdr:colOff>
      <xdr:row>12</xdr:row>
      <xdr:rowOff>114300</xdr:rowOff>
    </xdr:from>
    <xdr:to>
      <xdr:col>2</xdr:col>
      <xdr:colOff>1019175</xdr:colOff>
      <xdr:row>12</xdr:row>
      <xdr:rowOff>352425</xdr:rowOff>
    </xdr:to>
    <xdr:sp macro="" textlink="">
      <xdr:nvSpPr>
        <xdr:cNvPr id="22529" name="Rectangle 1"/>
        <xdr:cNvSpPr>
          <a:spLocks noChangeArrowheads="1"/>
        </xdr:cNvSpPr>
      </xdr:nvSpPr>
      <xdr:spPr bwMode="auto">
        <a:xfrm>
          <a:off x="2324100" y="5035550"/>
          <a:ext cx="3968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7</xdr:col>
      <xdr:colOff>134472</xdr:colOff>
      <xdr:row>12</xdr:row>
      <xdr:rowOff>114300</xdr:rowOff>
    </xdr:from>
    <xdr:to>
      <xdr:col>7</xdr:col>
      <xdr:colOff>515472</xdr:colOff>
      <xdr:row>12</xdr:row>
      <xdr:rowOff>352425</xdr:rowOff>
    </xdr:to>
    <xdr:sp macro="" textlink="">
      <xdr:nvSpPr>
        <xdr:cNvPr id="22530" name="Rectangle 2"/>
        <xdr:cNvSpPr>
          <a:spLocks noChangeArrowheads="1"/>
        </xdr:cNvSpPr>
      </xdr:nvSpPr>
      <xdr:spPr bwMode="auto">
        <a:xfrm>
          <a:off x="2853766" y="5037418"/>
          <a:ext cx="38100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8</xdr:col>
      <xdr:colOff>800100</xdr:colOff>
      <xdr:row>12</xdr:row>
      <xdr:rowOff>114300</xdr:rowOff>
    </xdr:from>
    <xdr:to>
      <xdr:col>8</xdr:col>
      <xdr:colOff>1019175</xdr:colOff>
      <xdr:row>12</xdr:row>
      <xdr:rowOff>352425</xdr:rowOff>
    </xdr:to>
    <xdr:sp macro="" textlink="">
      <xdr:nvSpPr>
        <xdr:cNvPr id="22531" name="Rectangle 3"/>
        <xdr:cNvSpPr>
          <a:spLocks noChangeArrowheads="1"/>
        </xdr:cNvSpPr>
      </xdr:nvSpPr>
      <xdr:spPr bwMode="auto">
        <a:xfrm>
          <a:off x="4371975" y="5038725"/>
          <a:ext cx="2190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13</xdr:col>
      <xdr:colOff>164353</xdr:colOff>
      <xdr:row>12</xdr:row>
      <xdr:rowOff>120650</xdr:rowOff>
    </xdr:from>
    <xdr:to>
      <xdr:col>13</xdr:col>
      <xdr:colOff>546101</xdr:colOff>
      <xdr:row>12</xdr:row>
      <xdr:rowOff>358775</xdr:rowOff>
    </xdr:to>
    <xdr:sp macro="" textlink="">
      <xdr:nvSpPr>
        <xdr:cNvPr id="22532" name="Rectangle 4"/>
        <xdr:cNvSpPr>
          <a:spLocks noChangeArrowheads="1"/>
        </xdr:cNvSpPr>
      </xdr:nvSpPr>
      <xdr:spPr bwMode="auto">
        <a:xfrm>
          <a:off x="4459941" y="5043768"/>
          <a:ext cx="381748"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14</xdr:col>
      <xdr:colOff>800101</xdr:colOff>
      <xdr:row>12</xdr:row>
      <xdr:rowOff>114300</xdr:rowOff>
    </xdr:from>
    <xdr:to>
      <xdr:col>15</xdr:col>
      <xdr:colOff>1</xdr:colOff>
      <xdr:row>12</xdr:row>
      <xdr:rowOff>352425</xdr:rowOff>
    </xdr:to>
    <xdr:sp macro="" textlink="">
      <xdr:nvSpPr>
        <xdr:cNvPr id="22533" name="Rectangle 5"/>
        <xdr:cNvSpPr>
          <a:spLocks noChangeArrowheads="1"/>
        </xdr:cNvSpPr>
      </xdr:nvSpPr>
      <xdr:spPr bwMode="auto">
        <a:xfrm>
          <a:off x="5651501" y="5035550"/>
          <a:ext cx="2222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a:t>
          </a:r>
        </a:p>
      </xdr:txBody>
    </xdr:sp>
    <xdr:clientData/>
  </xdr:twoCellAnchor>
  <xdr:twoCellAnchor>
    <xdr:from>
      <xdr:col>15</xdr:col>
      <xdr:colOff>90955</xdr:colOff>
      <xdr:row>12</xdr:row>
      <xdr:rowOff>114300</xdr:rowOff>
    </xdr:from>
    <xdr:to>
      <xdr:col>15</xdr:col>
      <xdr:colOff>662421</xdr:colOff>
      <xdr:row>12</xdr:row>
      <xdr:rowOff>352425</xdr:rowOff>
    </xdr:to>
    <xdr:sp macro="" textlink="">
      <xdr:nvSpPr>
        <xdr:cNvPr id="22534" name="Rectangle 6"/>
        <xdr:cNvSpPr>
          <a:spLocks noChangeArrowheads="1"/>
        </xdr:cNvSpPr>
      </xdr:nvSpPr>
      <xdr:spPr bwMode="auto">
        <a:xfrm>
          <a:off x="6490023" y="5041323"/>
          <a:ext cx="571466"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18</xdr:col>
      <xdr:colOff>240491</xdr:colOff>
      <xdr:row>0</xdr:row>
      <xdr:rowOff>24356</xdr:rowOff>
    </xdr:from>
    <xdr:to>
      <xdr:col>20</xdr:col>
      <xdr:colOff>276412</xdr:colOff>
      <xdr:row>3</xdr:row>
      <xdr:rowOff>20411</xdr:rowOff>
    </xdr:to>
    <xdr:sp macro="" textlink="">
      <xdr:nvSpPr>
        <xdr:cNvPr id="2" name="角丸四角形 1"/>
        <xdr:cNvSpPr/>
      </xdr:nvSpPr>
      <xdr:spPr bwMode="auto">
        <a:xfrm>
          <a:off x="8092079" y="24356"/>
          <a:ext cx="1828862" cy="1206290"/>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ja-JP" altLang="en-US" sz="900"/>
            <a:t>・本年度はグラフデータから飛ぶようになっている。支弁人件費はグラフデータで計算させている。</a:t>
          </a:r>
          <a:endParaRPr kumimoji="1" lang="en-US" altLang="ja-JP" sz="900"/>
        </a:p>
        <a:p>
          <a:pPr algn="l"/>
          <a:r>
            <a:rPr kumimoji="1" lang="ja-JP" altLang="en-US" sz="900"/>
            <a:t>・人件費の赤字は給与費明細から</a:t>
          </a:r>
          <a:endParaRPr kumimoji="1" lang="en-US" altLang="ja-JP" sz="900"/>
        </a:p>
        <a:p>
          <a:pPr algn="l"/>
          <a:r>
            <a:rPr kumimoji="1" lang="ja-JP" altLang="en-US" sz="900"/>
            <a:t>・「投資及び出資金」の「</a:t>
          </a:r>
          <a:r>
            <a:rPr kumimoji="1" lang="en-US" altLang="ja-JP" sz="900"/>
            <a:t>-</a:t>
          </a:r>
          <a:r>
            <a:rPr kumimoji="1" lang="ja-JP" altLang="en-US" sz="900"/>
            <a:t>」はオートシェイプでやっているので注意</a:t>
          </a:r>
        </a:p>
      </xdr:txBody>
    </xdr:sp>
    <xdr:clientData/>
  </xdr:twoCellAnchor>
  <xdr:twoCellAnchor>
    <xdr:from>
      <xdr:col>16</xdr:col>
      <xdr:colOff>114300</xdr:colOff>
      <xdr:row>0</xdr:row>
      <xdr:rowOff>82177</xdr:rowOff>
    </xdr:from>
    <xdr:to>
      <xdr:col>18</xdr:col>
      <xdr:colOff>180975</xdr:colOff>
      <xdr:row>1</xdr:row>
      <xdr:rowOff>298824</xdr:rowOff>
    </xdr:to>
    <xdr:sp macro="" textlink="">
      <xdr:nvSpPr>
        <xdr:cNvPr id="10" name="角丸四角形 9"/>
        <xdr:cNvSpPr/>
      </xdr:nvSpPr>
      <xdr:spPr bwMode="auto">
        <a:xfrm>
          <a:off x="7191375" y="82177"/>
          <a:ext cx="1552575" cy="616697"/>
        </a:xfrm>
        <a:prstGeom prst="roundRect">
          <a:avLst/>
        </a:prstGeom>
        <a:ln>
          <a:headEnd type="none" w="med" len="med"/>
          <a:tailEnd type="none" w="med" len="med"/>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rtlCol="0" anchor="t" upright="1"/>
        <a:lstStyle/>
        <a:p>
          <a:pPr algn="l"/>
          <a:r>
            <a:rPr kumimoji="1" lang="en-US" altLang="ja-JP" sz="1100">
              <a:solidFill>
                <a:srgbClr val="FF0000"/>
              </a:solidFill>
            </a:rPr>
            <a:t>R6.1.22</a:t>
          </a:r>
          <a:r>
            <a:rPr kumimoji="1" lang="ja-JP" altLang="en-US" sz="1100">
              <a:solidFill>
                <a:srgbClr val="FF0000"/>
              </a:solidFill>
            </a:rPr>
            <a:t>　最終数値入力済</a:t>
          </a:r>
        </a:p>
      </xdr:txBody>
    </xdr:sp>
    <xdr:clientData/>
  </xdr:twoCellAnchor>
  <xdr:twoCellAnchor>
    <xdr:from>
      <xdr:col>18</xdr:col>
      <xdr:colOff>828675</xdr:colOff>
      <xdr:row>6</xdr:row>
      <xdr:rowOff>123825</xdr:rowOff>
    </xdr:from>
    <xdr:to>
      <xdr:col>20</xdr:col>
      <xdr:colOff>533400</xdr:colOff>
      <xdr:row>7</xdr:row>
      <xdr:rowOff>371475</xdr:rowOff>
    </xdr:to>
    <xdr:sp macro="" textlink="">
      <xdr:nvSpPr>
        <xdr:cNvPr id="11" name="正方形/長方形 10"/>
        <xdr:cNvSpPr/>
      </xdr:nvSpPr>
      <xdr:spPr bwMode="auto">
        <a:xfrm>
          <a:off x="9391650" y="2533650"/>
          <a:ext cx="1657350" cy="666750"/>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en-US" altLang="ja-JP" sz="1100"/>
        </a:p>
        <a:p>
          <a:pPr algn="l"/>
          <a:r>
            <a:rPr kumimoji="1" lang="ja-JP" altLang="en-US" sz="1100"/>
            <a:t>　＋（プラス記号）は、全角　　にしてね♪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5"/>
  </sheetPr>
  <dimension ref="A1:Z42"/>
  <sheetViews>
    <sheetView showGridLines="0" view="pageBreakPreview" zoomScale="85" zoomScaleNormal="85" zoomScaleSheetLayoutView="85" workbookViewId="0">
      <selection activeCell="G66" sqref="G66"/>
    </sheetView>
  </sheetViews>
  <sheetFormatPr defaultColWidth="8" defaultRowHeight="16.5"/>
  <cols>
    <col min="1" max="1" width="3" style="158" customWidth="1"/>
    <col min="2" max="2" width="23.125" style="158" customWidth="1"/>
    <col min="3" max="3" width="4.125" style="158" customWidth="1"/>
    <col min="4" max="6" width="17.125" style="158" customWidth="1"/>
    <col min="7" max="7" width="11.125" style="159" customWidth="1"/>
    <col min="8" max="8" width="1.875" style="158" customWidth="1"/>
    <col min="9" max="10" width="10.625" style="158" customWidth="1"/>
    <col min="11" max="13" width="8" style="158"/>
    <col min="14" max="14" width="10.125" style="158" bestFit="1" customWidth="1"/>
    <col min="15" max="16" width="14.5" style="158" bestFit="1" customWidth="1"/>
    <col min="17" max="17" width="15.875" style="158" customWidth="1"/>
    <col min="18" max="16384" width="8" style="158"/>
  </cols>
  <sheetData>
    <row r="1" spans="1:10" ht="31.5" customHeight="1">
      <c r="A1" s="692" t="s">
        <v>77</v>
      </c>
      <c r="B1" s="692"/>
      <c r="C1" s="692"/>
      <c r="D1" s="692"/>
      <c r="E1" s="692"/>
      <c r="F1" s="692"/>
      <c r="G1" s="692"/>
      <c r="I1" s="196"/>
      <c r="J1" s="196"/>
    </row>
    <row r="2" spans="1:10" ht="31.5" customHeight="1">
      <c r="A2" s="197"/>
      <c r="B2" s="198"/>
      <c r="C2" s="198"/>
      <c r="D2" s="197"/>
      <c r="E2" s="197"/>
      <c r="F2" s="197"/>
      <c r="G2" s="199"/>
      <c r="I2" s="200"/>
    </row>
    <row r="3" spans="1:10" s="203" customFormat="1" ht="31.5" customHeight="1">
      <c r="A3" s="201"/>
      <c r="B3" s="201"/>
      <c r="C3" s="201"/>
      <c r="D3" s="201"/>
      <c r="E3" s="201"/>
      <c r="F3" s="202"/>
      <c r="G3" s="202" t="s">
        <v>43</v>
      </c>
      <c r="I3" s="204"/>
      <c r="J3" s="205" t="s">
        <v>182</v>
      </c>
    </row>
    <row r="4" spans="1:10" s="206" customFormat="1" ht="17.25" customHeight="1">
      <c r="A4" s="699" t="s">
        <v>1</v>
      </c>
      <c r="B4" s="700"/>
      <c r="C4" s="700"/>
      <c r="D4" s="697" t="s">
        <v>76</v>
      </c>
      <c r="E4" s="693" t="s">
        <v>11</v>
      </c>
      <c r="F4" s="693" t="s">
        <v>12</v>
      </c>
      <c r="G4" s="695" t="s">
        <v>13</v>
      </c>
      <c r="I4" s="207"/>
      <c r="J4" s="207"/>
    </row>
    <row r="5" spans="1:10" s="206" customFormat="1" ht="17.25" customHeight="1">
      <c r="A5" s="701"/>
      <c r="B5" s="702"/>
      <c r="C5" s="702"/>
      <c r="D5" s="698"/>
      <c r="E5" s="694"/>
      <c r="F5" s="694"/>
      <c r="G5" s="696"/>
      <c r="I5" s="207"/>
      <c r="J5" s="207"/>
    </row>
    <row r="6" spans="1:10" s="206" customFormat="1" ht="33" customHeight="1">
      <c r="A6" s="703" t="s">
        <v>2</v>
      </c>
      <c r="B6" s="704"/>
      <c r="C6" s="704"/>
      <c r="D6" s="479">
        <v>115700000</v>
      </c>
      <c r="E6" s="479">
        <v>111800000</v>
      </c>
      <c r="F6" s="477">
        <f>D6-E6</f>
        <v>3900000</v>
      </c>
      <c r="G6" s="478">
        <f>ROUND(F6/E6*100,1)</f>
        <v>3.5</v>
      </c>
      <c r="I6" s="207"/>
      <c r="J6" s="207"/>
    </row>
    <row r="7" spans="1:10" s="206" customFormat="1" ht="33" customHeight="1">
      <c r="A7" s="686" t="s">
        <v>3</v>
      </c>
      <c r="B7" s="686"/>
      <c r="C7" s="686"/>
      <c r="D7" s="469">
        <f>SUM(D8:D14)</f>
        <v>61392000</v>
      </c>
      <c r="E7" s="469">
        <f>SUM(E8:E14)</f>
        <v>59354000</v>
      </c>
      <c r="F7" s="469">
        <f>SUM(F8:F14)</f>
        <v>2038000</v>
      </c>
      <c r="G7" s="470">
        <f>ROUND(F7/E7*100,1)</f>
        <v>3.4</v>
      </c>
      <c r="I7" s="207"/>
      <c r="J7" s="207"/>
    </row>
    <row r="8" spans="1:10" s="208" customFormat="1" ht="33" customHeight="1">
      <c r="A8" s="521"/>
      <c r="B8" s="686" t="s">
        <v>4</v>
      </c>
      <c r="C8" s="686"/>
      <c r="D8" s="471">
        <v>30080000</v>
      </c>
      <c r="E8" s="471">
        <v>30650000</v>
      </c>
      <c r="F8" s="469">
        <f>IF(D8="-",0-E8,D8-E8)</f>
        <v>-570000</v>
      </c>
      <c r="G8" s="472">
        <f>ROUND(F8/E8*100,1)</f>
        <v>-1.9</v>
      </c>
      <c r="H8" s="405"/>
      <c r="I8" s="209"/>
      <c r="J8" s="209"/>
    </row>
    <row r="9" spans="1:10" s="210" customFormat="1" ht="33" customHeight="1">
      <c r="A9" s="522"/>
      <c r="B9" s="686" t="s">
        <v>87</v>
      </c>
      <c r="C9" s="686"/>
      <c r="D9" s="471">
        <v>5590000</v>
      </c>
      <c r="E9" s="471">
        <v>5000000</v>
      </c>
      <c r="F9" s="469">
        <f>IF(D9="-",0-E9,D9-E9)</f>
        <v>590000</v>
      </c>
      <c r="G9" s="472">
        <f t="shared" ref="G9:G14" si="0">ROUND(F9/E9*100,1)</f>
        <v>11.8</v>
      </c>
      <c r="I9" s="211"/>
      <c r="J9" s="211"/>
    </row>
    <row r="10" spans="1:10" s="208" customFormat="1" ht="33" customHeight="1">
      <c r="A10" s="522"/>
      <c r="B10" s="686" t="s">
        <v>5</v>
      </c>
      <c r="C10" s="686"/>
      <c r="D10" s="471">
        <v>22820000</v>
      </c>
      <c r="E10" s="471">
        <v>21240000</v>
      </c>
      <c r="F10" s="469">
        <f t="shared" ref="F10:F16" si="1">IF(D10="-",0-E10,D10-E10)</f>
        <v>1580000</v>
      </c>
      <c r="G10" s="472">
        <f t="shared" si="0"/>
        <v>7.4</v>
      </c>
      <c r="I10" s="209"/>
      <c r="J10" s="209"/>
    </row>
    <row r="11" spans="1:10" s="208" customFormat="1" ht="33" customHeight="1">
      <c r="A11" s="522"/>
      <c r="B11" s="705" t="s">
        <v>180</v>
      </c>
      <c r="C11" s="686"/>
      <c r="D11" s="471">
        <v>54000</v>
      </c>
      <c r="E11" s="471">
        <v>35000</v>
      </c>
      <c r="F11" s="469">
        <f t="shared" si="1"/>
        <v>19000</v>
      </c>
      <c r="G11" s="472">
        <f t="shared" si="0"/>
        <v>54.3</v>
      </c>
      <c r="I11" s="209"/>
      <c r="J11" s="209"/>
    </row>
    <row r="12" spans="1:10" s="208" customFormat="1" ht="33" customHeight="1">
      <c r="A12" s="522"/>
      <c r="B12" s="686" t="s">
        <v>6</v>
      </c>
      <c r="C12" s="686"/>
      <c r="D12" s="471">
        <v>40000</v>
      </c>
      <c r="E12" s="471">
        <v>40000</v>
      </c>
      <c r="F12" s="469">
        <f t="shared" si="1"/>
        <v>0</v>
      </c>
      <c r="G12" s="472">
        <f t="shared" si="0"/>
        <v>0</v>
      </c>
      <c r="I12" s="209"/>
      <c r="J12" s="209"/>
    </row>
    <row r="13" spans="1:10" s="208" customFormat="1" ht="33" customHeight="1">
      <c r="A13" s="522"/>
      <c r="B13" s="686" t="s">
        <v>7</v>
      </c>
      <c r="C13" s="686"/>
      <c r="D13" s="471">
        <v>2500000</v>
      </c>
      <c r="E13" s="471">
        <v>2000000</v>
      </c>
      <c r="F13" s="469">
        <f t="shared" si="1"/>
        <v>500000</v>
      </c>
      <c r="G13" s="472">
        <f t="shared" si="0"/>
        <v>25</v>
      </c>
      <c r="I13" s="209"/>
      <c r="J13" s="209"/>
    </row>
    <row r="14" spans="1:10" s="208" customFormat="1" ht="33" customHeight="1">
      <c r="A14" s="523"/>
      <c r="B14" s="686" t="s">
        <v>8</v>
      </c>
      <c r="C14" s="686"/>
      <c r="D14" s="471">
        <v>308000</v>
      </c>
      <c r="E14" s="471">
        <v>389000</v>
      </c>
      <c r="F14" s="469">
        <f t="shared" si="1"/>
        <v>-81000</v>
      </c>
      <c r="G14" s="472">
        <f t="shared" si="0"/>
        <v>-20.8</v>
      </c>
      <c r="I14" s="209"/>
      <c r="J14" s="209"/>
    </row>
    <row r="15" spans="1:10" s="206" customFormat="1" ht="33" customHeight="1">
      <c r="A15" s="686" t="s">
        <v>9</v>
      </c>
      <c r="B15" s="686"/>
      <c r="C15" s="686"/>
      <c r="D15" s="471">
        <v>14529800</v>
      </c>
      <c r="E15" s="471">
        <v>13351400</v>
      </c>
      <c r="F15" s="469">
        <f t="shared" ref="F15" si="2">IF(D15="-",0-E15,D15-E15)</f>
        <v>1178400</v>
      </c>
      <c r="G15" s="472">
        <f>ROUND(F15/E15*100,1)</f>
        <v>8.8000000000000007</v>
      </c>
      <c r="I15" s="207"/>
      <c r="J15" s="207"/>
    </row>
    <row r="16" spans="1:10" s="206" customFormat="1" ht="33" customHeight="1" thickBot="1">
      <c r="A16" s="690" t="s">
        <v>195</v>
      </c>
      <c r="B16" s="691"/>
      <c r="C16" s="691"/>
      <c r="D16" s="475">
        <v>10467400</v>
      </c>
      <c r="E16" s="475">
        <v>10193900</v>
      </c>
      <c r="F16" s="476">
        <f t="shared" si="1"/>
        <v>273500</v>
      </c>
      <c r="G16" s="473">
        <f>ROUND(F16/E16*100,1)</f>
        <v>2.7</v>
      </c>
      <c r="I16" s="207"/>
      <c r="J16" s="207"/>
    </row>
    <row r="17" spans="1:26" s="206" customFormat="1" ht="33" customHeight="1" thickTop="1">
      <c r="A17" s="688" t="s">
        <v>10</v>
      </c>
      <c r="B17" s="689"/>
      <c r="C17" s="689"/>
      <c r="D17" s="477">
        <f>SUM(D6,D7,D15,D16)</f>
        <v>202089200</v>
      </c>
      <c r="E17" s="477">
        <f>SUM(E6,E7,E15,E16)</f>
        <v>194699300</v>
      </c>
      <c r="F17" s="477">
        <f>SUM(F6,F7,F15,F16)</f>
        <v>7389900</v>
      </c>
      <c r="G17" s="474">
        <f>ROUND(F17/E17*100,1)</f>
        <v>3.8</v>
      </c>
      <c r="I17" s="207"/>
      <c r="J17" s="207"/>
    </row>
    <row r="18" spans="1:26" ht="34.5" customHeight="1">
      <c r="A18" s="687"/>
      <c r="B18" s="687"/>
      <c r="C18" s="687"/>
      <c r="D18" s="687"/>
      <c r="E18" s="687"/>
      <c r="F18" s="687"/>
      <c r="G18" s="687"/>
    </row>
    <row r="21" spans="1:26">
      <c r="N21" s="212" t="s">
        <v>160</v>
      </c>
      <c r="O21" s="333"/>
      <c r="P21" s="333"/>
      <c r="Q21" s="334"/>
      <c r="R21" s="334"/>
      <c r="S21" s="334"/>
      <c r="T21" s="334"/>
      <c r="U21" s="334"/>
      <c r="V21" s="334"/>
      <c r="W21" s="334"/>
      <c r="X21" s="334"/>
      <c r="Y21" s="334"/>
      <c r="Z21" s="334"/>
    </row>
    <row r="22" spans="1:26">
      <c r="N22" s="394"/>
      <c r="O22" s="395" t="s">
        <v>273</v>
      </c>
      <c r="P22" s="395" t="s">
        <v>243</v>
      </c>
      <c r="Q22" s="334"/>
      <c r="R22" s="334"/>
      <c r="S22" s="334"/>
      <c r="T22" s="334"/>
      <c r="U22" s="334"/>
      <c r="V22" s="334"/>
      <c r="W22" s="334"/>
      <c r="X22" s="334"/>
      <c r="Y22" s="334"/>
      <c r="Z22" s="334"/>
    </row>
    <row r="23" spans="1:26">
      <c r="N23" s="397" t="s">
        <v>161</v>
      </c>
      <c r="O23" s="396">
        <v>2770000</v>
      </c>
      <c r="P23" s="396">
        <v>2670000</v>
      </c>
      <c r="Q23" s="340">
        <f>O23-P23</f>
        <v>100000</v>
      </c>
      <c r="R23" s="334"/>
      <c r="S23" s="334"/>
      <c r="T23" s="334"/>
      <c r="U23" s="334"/>
      <c r="V23" s="334"/>
      <c r="W23" s="334"/>
      <c r="X23" s="334"/>
      <c r="Y23" s="334"/>
      <c r="Z23" s="334"/>
    </row>
    <row r="24" spans="1:26">
      <c r="N24" s="397"/>
      <c r="O24" s="396">
        <v>-881000</v>
      </c>
      <c r="P24" s="396">
        <v>-788000</v>
      </c>
      <c r="Q24" s="340">
        <f t="shared" ref="Q24:Q27" si="3">O24-P24</f>
        <v>-93000</v>
      </c>
      <c r="R24" s="334"/>
      <c r="S24" s="334"/>
      <c r="T24" s="334"/>
      <c r="U24" s="334"/>
      <c r="V24" s="334"/>
      <c r="W24" s="334"/>
      <c r="X24" s="334"/>
      <c r="Y24" s="334"/>
      <c r="Z24" s="334"/>
    </row>
    <row r="25" spans="1:26">
      <c r="N25" s="399" t="s">
        <v>163</v>
      </c>
      <c r="O25" s="398">
        <v>1012000</v>
      </c>
      <c r="P25" s="398">
        <v>905000</v>
      </c>
      <c r="Q25" s="340">
        <f>O25-P25</f>
        <v>107000</v>
      </c>
      <c r="R25" s="334"/>
      <c r="S25" s="334"/>
      <c r="T25" s="334"/>
      <c r="U25" s="334"/>
      <c r="V25" s="334"/>
      <c r="W25" s="334"/>
      <c r="X25" s="334"/>
      <c r="Y25" s="334"/>
      <c r="Z25" s="334"/>
    </row>
    <row r="26" spans="1:26">
      <c r="N26" s="239" t="s">
        <v>162</v>
      </c>
      <c r="O26" s="398">
        <v>3722000</v>
      </c>
      <c r="P26" s="398">
        <v>3510000</v>
      </c>
      <c r="Q26" s="340">
        <f t="shared" si="3"/>
        <v>212000</v>
      </c>
      <c r="R26" s="334"/>
      <c r="S26" s="334"/>
      <c r="T26" s="334"/>
      <c r="U26" s="334"/>
      <c r="V26" s="334"/>
      <c r="W26" s="334"/>
      <c r="X26" s="334"/>
      <c r="Y26" s="334"/>
      <c r="Z26" s="334"/>
    </row>
    <row r="27" spans="1:26">
      <c r="N27" s="400" t="s">
        <v>178</v>
      </c>
      <c r="O27" s="398">
        <v>300</v>
      </c>
      <c r="P27" s="398">
        <v>300</v>
      </c>
      <c r="Q27" s="340">
        <f t="shared" si="3"/>
        <v>0</v>
      </c>
      <c r="R27" s="334"/>
      <c r="S27" s="334"/>
      <c r="T27" s="334"/>
      <c r="U27" s="334"/>
      <c r="V27" s="334"/>
      <c r="W27" s="334"/>
      <c r="X27" s="334"/>
      <c r="Y27" s="334"/>
      <c r="Z27" s="334"/>
    </row>
    <row r="28" spans="1:26">
      <c r="N28" s="397" t="s">
        <v>164</v>
      </c>
      <c r="O28" s="398">
        <v>16000</v>
      </c>
      <c r="P28" s="398">
        <v>16000</v>
      </c>
      <c r="Q28" s="340">
        <f t="shared" ref="Q28:Q29" si="4">O28-P28</f>
        <v>0</v>
      </c>
      <c r="R28" s="334"/>
      <c r="S28" s="334"/>
      <c r="T28" s="334"/>
      <c r="U28" s="334"/>
      <c r="V28" s="334"/>
      <c r="W28" s="334"/>
      <c r="X28" s="334"/>
      <c r="Y28" s="334"/>
      <c r="Z28" s="334"/>
    </row>
    <row r="29" spans="1:26">
      <c r="N29" s="397"/>
      <c r="O29" s="398">
        <v>-760</v>
      </c>
      <c r="P29" s="398">
        <v>-770</v>
      </c>
      <c r="Q29" s="340">
        <f t="shared" si="4"/>
        <v>10</v>
      </c>
      <c r="R29" s="334"/>
      <c r="S29" s="334"/>
      <c r="T29" s="334"/>
      <c r="U29" s="334"/>
      <c r="V29" s="334"/>
      <c r="W29" s="334"/>
      <c r="X29" s="334"/>
      <c r="Y29" s="334"/>
      <c r="Z29" s="334"/>
    </row>
    <row r="30" spans="1:26">
      <c r="N30" s="399" t="s">
        <v>165</v>
      </c>
      <c r="O30" s="398">
        <v>710000</v>
      </c>
      <c r="P30" s="398">
        <v>720000</v>
      </c>
      <c r="Q30" s="340">
        <f t="shared" ref="Q30:Q31" si="5">O30-P30</f>
        <v>-10000</v>
      </c>
      <c r="R30" s="334"/>
      <c r="S30" s="334"/>
      <c r="T30" s="334"/>
      <c r="U30" s="334"/>
      <c r="V30" s="334"/>
      <c r="W30" s="334"/>
      <c r="X30" s="334"/>
      <c r="Y30" s="334"/>
      <c r="Z30" s="334"/>
    </row>
    <row r="31" spans="1:26">
      <c r="N31" s="397"/>
      <c r="O31" s="398">
        <v>-6090</v>
      </c>
      <c r="P31" s="398">
        <v>-1359</v>
      </c>
      <c r="Q31" s="340">
        <f t="shared" si="5"/>
        <v>-4731</v>
      </c>
      <c r="R31" s="334"/>
      <c r="S31" s="334"/>
      <c r="T31" s="334"/>
      <c r="U31" s="334"/>
      <c r="V31" s="334"/>
      <c r="W31" s="334"/>
      <c r="X31" s="334"/>
      <c r="Y31" s="334"/>
      <c r="Z31" s="334"/>
    </row>
    <row r="32" spans="1:26">
      <c r="N32" s="401" t="s">
        <v>169</v>
      </c>
      <c r="O32" s="402">
        <v>300</v>
      </c>
      <c r="P32" s="402">
        <v>200</v>
      </c>
      <c r="Q32" s="340">
        <f>O32-P32</f>
        <v>100</v>
      </c>
      <c r="R32" s="334"/>
      <c r="S32" s="334"/>
      <c r="T32" s="334"/>
      <c r="U32" s="334"/>
      <c r="V32" s="334"/>
      <c r="W32" s="334"/>
      <c r="X32" s="334"/>
      <c r="Y32" s="334"/>
      <c r="Z32" s="334"/>
    </row>
    <row r="33" spans="14:26">
      <c r="N33" s="397"/>
      <c r="O33" s="449"/>
      <c r="P33" s="398"/>
      <c r="Q33" s="444"/>
      <c r="R33" s="334"/>
      <c r="S33" s="334"/>
      <c r="T33" s="334"/>
      <c r="U33" s="334"/>
      <c r="V33" s="334"/>
      <c r="W33" s="334"/>
      <c r="X33" s="334"/>
      <c r="Y33" s="334"/>
      <c r="Z33" s="334"/>
    </row>
    <row r="34" spans="14:26">
      <c r="N34" s="239"/>
      <c r="O34" s="448"/>
      <c r="P34" s="240"/>
      <c r="Q34" s="444"/>
      <c r="R34" s="334"/>
      <c r="S34" s="334"/>
      <c r="T34" s="334"/>
      <c r="U34" s="334"/>
      <c r="V34" s="334"/>
      <c r="W34" s="334"/>
      <c r="X34" s="334"/>
      <c r="Y34" s="334"/>
      <c r="Z34" s="334"/>
    </row>
    <row r="35" spans="14:26">
      <c r="N35" s="239"/>
      <c r="O35" s="445"/>
      <c r="P35" s="240"/>
      <c r="Q35" s="340"/>
      <c r="R35" s="334"/>
      <c r="S35" s="334"/>
      <c r="T35" s="334"/>
      <c r="U35" s="334"/>
      <c r="V35" s="334"/>
      <c r="W35" s="334"/>
      <c r="X35" s="334"/>
      <c r="Y35" s="334"/>
      <c r="Z35" s="334"/>
    </row>
    <row r="36" spans="14:26">
      <c r="N36" s="239"/>
      <c r="O36" s="445"/>
      <c r="P36" s="240"/>
      <c r="Q36" s="444"/>
      <c r="R36" s="334"/>
      <c r="S36" s="334"/>
      <c r="T36" s="334"/>
      <c r="U36" s="334"/>
      <c r="V36" s="334"/>
      <c r="W36" s="334"/>
      <c r="X36" s="334"/>
      <c r="Y36" s="334"/>
      <c r="Z36" s="334"/>
    </row>
    <row r="37" spans="14:26">
      <c r="N37" s="334"/>
      <c r="O37" s="334"/>
      <c r="P37" s="334"/>
      <c r="Q37" s="334"/>
      <c r="R37" s="334"/>
      <c r="S37" s="334"/>
      <c r="T37" s="334"/>
      <c r="U37" s="334"/>
      <c r="V37" s="334"/>
      <c r="W37" s="334"/>
      <c r="X37" s="334"/>
      <c r="Y37" s="334"/>
      <c r="Z37" s="334"/>
    </row>
    <row r="38" spans="14:26">
      <c r="N38" s="334"/>
      <c r="O38" s="334"/>
      <c r="P38" s="334"/>
      <c r="Q38" s="336" t="s">
        <v>215</v>
      </c>
      <c r="R38" s="337"/>
      <c r="S38" s="337"/>
      <c r="T38" s="337"/>
      <c r="U38" s="337"/>
      <c r="V38" s="337"/>
      <c r="W38" s="337"/>
      <c r="X38" s="337"/>
      <c r="Y38" s="337"/>
      <c r="Z38" s="335"/>
    </row>
    <row r="39" spans="14:26">
      <c r="N39" s="334"/>
      <c r="O39" s="334"/>
      <c r="P39" s="334"/>
      <c r="Q39" s="337" t="s">
        <v>192</v>
      </c>
      <c r="R39" s="337"/>
      <c r="S39" s="337" t="s">
        <v>207</v>
      </c>
      <c r="T39" s="337" t="s">
        <v>208</v>
      </c>
      <c r="U39" s="337" t="s">
        <v>209</v>
      </c>
      <c r="V39" s="337" t="s">
        <v>210</v>
      </c>
      <c r="W39" s="337" t="s">
        <v>211</v>
      </c>
      <c r="X39" s="337" t="s">
        <v>217</v>
      </c>
      <c r="Y39" s="337" t="s">
        <v>247</v>
      </c>
      <c r="Z39" s="337" t="s">
        <v>305</v>
      </c>
    </row>
    <row r="40" spans="14:26">
      <c r="N40" s="334"/>
      <c r="O40" s="334"/>
      <c r="P40" s="334"/>
      <c r="Q40" s="336" t="s">
        <v>212</v>
      </c>
      <c r="R40" s="337"/>
      <c r="S40" s="337">
        <v>884</v>
      </c>
      <c r="T40" s="337">
        <v>904</v>
      </c>
      <c r="U40" s="337">
        <v>915</v>
      </c>
      <c r="V40" s="337">
        <v>983</v>
      </c>
      <c r="W40" s="338">
        <v>1056</v>
      </c>
      <c r="X40" s="338">
        <v>1032</v>
      </c>
      <c r="Y40" s="338">
        <v>1060</v>
      </c>
      <c r="Z40" s="338">
        <v>1118</v>
      </c>
    </row>
    <row r="41" spans="14:26">
      <c r="N41" s="334"/>
      <c r="O41" s="334"/>
      <c r="P41" s="334"/>
      <c r="Q41" s="336" t="s">
        <v>213</v>
      </c>
      <c r="R41" s="339"/>
      <c r="S41" s="337" t="s">
        <v>214</v>
      </c>
      <c r="T41" s="339">
        <v>2.2999999999999998</v>
      </c>
      <c r="U41" s="339">
        <v>1.2</v>
      </c>
      <c r="V41" s="339">
        <v>7.4</v>
      </c>
      <c r="W41" s="339">
        <v>7.4</v>
      </c>
      <c r="X41" s="339">
        <v>-2.2999999999999998</v>
      </c>
      <c r="Y41" s="339">
        <v>2.7</v>
      </c>
      <c r="Z41" s="339">
        <v>5.5</v>
      </c>
    </row>
    <row r="42" spans="14:26">
      <c r="Q42" s="328"/>
      <c r="R42" s="327"/>
      <c r="S42" s="327"/>
      <c r="T42" s="327"/>
      <c r="U42" s="328"/>
      <c r="V42" s="328"/>
      <c r="W42" s="328"/>
      <c r="X42" s="328"/>
      <c r="Y42" s="328"/>
      <c r="Z42" s="328"/>
    </row>
  </sheetData>
  <mergeCells count="19">
    <mergeCell ref="B8:C8"/>
    <mergeCell ref="B9:C9"/>
    <mergeCell ref="B13:C13"/>
    <mergeCell ref="B10:C10"/>
    <mergeCell ref="A1:G1"/>
    <mergeCell ref="F4:F5"/>
    <mergeCell ref="G4:G5"/>
    <mergeCell ref="D4:D5"/>
    <mergeCell ref="A7:C7"/>
    <mergeCell ref="A4:C5"/>
    <mergeCell ref="E4:E5"/>
    <mergeCell ref="A6:C6"/>
    <mergeCell ref="B12:C12"/>
    <mergeCell ref="B11:C11"/>
    <mergeCell ref="A15:C15"/>
    <mergeCell ref="A18:G18"/>
    <mergeCell ref="A17:C17"/>
    <mergeCell ref="B14:C14"/>
    <mergeCell ref="A16:C16"/>
  </mergeCells>
  <phoneticPr fontId="6"/>
  <printOptions horizontalCentered="1"/>
  <pageMargins left="0.19685039370078741" right="0.15748031496062992" top="0.6692913385826772" bottom="0.59055118110236227" header="0.70866141732283472" footer="0.59055118110236227"/>
  <pageSetup paperSize="9" scale="95" orientation="portrait" cellComments="asDisplayed"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CD61"/>
  <sheetViews>
    <sheetView view="pageBreakPreview" topLeftCell="A4" zoomScaleNormal="100" zoomScaleSheetLayoutView="100" workbookViewId="0">
      <selection activeCell="G66" sqref="G66"/>
    </sheetView>
  </sheetViews>
  <sheetFormatPr defaultColWidth="9" defaultRowHeight="14.25"/>
  <cols>
    <col min="1" max="12" width="3.625" style="253" customWidth="1"/>
    <col min="13" max="14" width="3.625" style="277" customWidth="1"/>
    <col min="15" max="17" width="3.625" style="253" customWidth="1"/>
    <col min="18" max="18" width="4.375" style="253" customWidth="1"/>
    <col min="19" max="19" width="4.25" style="253" customWidth="1"/>
    <col min="20" max="26" width="3.625" style="253" customWidth="1"/>
    <col min="27" max="27" width="1.875" style="253" customWidth="1"/>
    <col min="28" max="28" width="2.875" style="253" customWidth="1"/>
    <col min="29" max="31" width="3.625" style="253" customWidth="1"/>
    <col min="32" max="41" width="3.75" style="253" customWidth="1"/>
    <col min="42" max="16384" width="9" style="253"/>
  </cols>
  <sheetData>
    <row r="1" spans="1:41" s="158" customFormat="1" ht="18.75">
      <c r="A1" s="157"/>
      <c r="B1" s="157"/>
      <c r="G1" s="159"/>
    </row>
    <row r="2" spans="1:41" s="158" customFormat="1" ht="16.5">
      <c r="A2" s="719" t="s">
        <v>132</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row>
    <row r="3" spans="1:41" s="158" customFormat="1" ht="16.5">
      <c r="A3" s="719"/>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row>
    <row r="4" spans="1:41" s="158" customFormat="1" ht="18.7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row>
    <row r="5" spans="1:41" s="158" customFormat="1" ht="16.5">
      <c r="G5" s="159"/>
      <c r="M5" s="188"/>
      <c r="N5" s="170"/>
      <c r="O5" s="170"/>
      <c r="P5" s="170"/>
      <c r="Q5" s="170"/>
      <c r="R5" s="713"/>
      <c r="S5" s="713"/>
      <c r="T5" s="293"/>
      <c r="U5" s="311"/>
      <c r="V5" s="188"/>
      <c r="AB5" s="160" t="s">
        <v>205</v>
      </c>
    </row>
    <row r="6" spans="1:41" s="158" customFormat="1" ht="16.5">
      <c r="G6" s="159"/>
      <c r="M6" s="189" t="str">
        <f>グラフデータ!C70</f>
        <v>法人事業税交付金</v>
      </c>
      <c r="N6" s="174"/>
      <c r="O6" s="174"/>
      <c r="P6" s="174"/>
      <c r="Q6" s="174"/>
      <c r="R6" s="718">
        <f>グラフデータ!D70</f>
        <v>500000</v>
      </c>
      <c r="S6" s="718"/>
      <c r="T6" s="294" t="s">
        <v>133</v>
      </c>
      <c r="U6" s="316">
        <f>グラフデータ!E70</f>
        <v>0.4</v>
      </c>
      <c r="V6" s="177" t="s">
        <v>134</v>
      </c>
    </row>
    <row r="7" spans="1:41" s="158" customFormat="1" ht="16.5">
      <c r="G7" s="159"/>
      <c r="M7" s="178" t="str">
        <f>グラフデータ!C74</f>
        <v>配当割交付金</v>
      </c>
      <c r="N7" s="170"/>
      <c r="O7" s="170"/>
      <c r="P7" s="170"/>
      <c r="Q7" s="170"/>
      <c r="R7" s="713">
        <f>グラフデータ!D74</f>
        <v>250000</v>
      </c>
      <c r="S7" s="713"/>
      <c r="T7" s="293" t="s">
        <v>133</v>
      </c>
      <c r="U7" s="317">
        <f>グラフデータ!E74</f>
        <v>0.2</v>
      </c>
      <c r="V7" s="181" t="s">
        <v>134</v>
      </c>
      <c r="AD7" s="319"/>
    </row>
    <row r="8" spans="1:41" s="158" customFormat="1" ht="16.5">
      <c r="G8" s="159"/>
      <c r="M8" s="404" t="str">
        <f>グラフデータ!C75</f>
        <v>株式等譲渡所得割交付金</v>
      </c>
      <c r="N8" s="170"/>
      <c r="O8" s="170"/>
      <c r="P8" s="170"/>
      <c r="Q8" s="170"/>
      <c r="R8" s="713">
        <f>グラフデータ!D75</f>
        <v>200000</v>
      </c>
      <c r="S8" s="713"/>
      <c r="T8" s="293" t="s">
        <v>133</v>
      </c>
      <c r="U8" s="317">
        <f>グラフデータ!E75</f>
        <v>0.2</v>
      </c>
      <c r="V8" s="181" t="s">
        <v>134</v>
      </c>
      <c r="AD8" s="319"/>
    </row>
    <row r="9" spans="1:41" s="158" customFormat="1" ht="16.5">
      <c r="A9" s="167"/>
      <c r="G9" s="169"/>
      <c r="M9" s="178" t="str">
        <f>グラフデータ!C71</f>
        <v>環境性能割交付金</v>
      </c>
      <c r="N9" s="170"/>
      <c r="O9" s="170"/>
      <c r="P9" s="170"/>
      <c r="Q9" s="170"/>
      <c r="R9" s="713">
        <f>グラフデータ!D71</f>
        <v>170000</v>
      </c>
      <c r="S9" s="713"/>
      <c r="T9" s="293" t="s">
        <v>133</v>
      </c>
      <c r="U9" s="317">
        <f>グラフデータ!E71</f>
        <v>0.1</v>
      </c>
      <c r="V9" s="181" t="s">
        <v>134</v>
      </c>
      <c r="AD9" s="319"/>
      <c r="AO9" s="188"/>
    </row>
    <row r="10" spans="1:41" s="158" customFormat="1" ht="16.5">
      <c r="A10" s="167"/>
      <c r="G10" s="159"/>
      <c r="M10" s="404" t="str">
        <f>グラフデータ!C73</f>
        <v>交通安全対策特別交付金</v>
      </c>
      <c r="N10" s="170"/>
      <c r="O10" s="170"/>
      <c r="P10" s="170"/>
      <c r="Q10" s="170"/>
      <c r="R10" s="713">
        <f>グラフデータ!D73</f>
        <v>42000</v>
      </c>
      <c r="S10" s="713"/>
      <c r="T10" s="293" t="s">
        <v>133</v>
      </c>
      <c r="U10" s="317">
        <f>グラフデータ!E73</f>
        <v>0</v>
      </c>
      <c r="V10" s="181" t="s">
        <v>134</v>
      </c>
      <c r="AD10" s="319"/>
      <c r="AO10" s="188"/>
    </row>
    <row r="11" spans="1:41" s="158" customFormat="1" ht="16.5">
      <c r="G11" s="159"/>
      <c r="M11" s="182" t="str">
        <f>グラフデータ!C72</f>
        <v>利子割交付金</v>
      </c>
      <c r="N11" s="183"/>
      <c r="O11" s="183"/>
      <c r="P11" s="183"/>
      <c r="Q11" s="183"/>
      <c r="R11" s="720">
        <f>グラフデータ!D72</f>
        <v>20000</v>
      </c>
      <c r="S11" s="720"/>
      <c r="T11" s="296" t="s">
        <v>133</v>
      </c>
      <c r="U11" s="318">
        <f>グラフデータ!E72</f>
        <v>0</v>
      </c>
      <c r="V11" s="186" t="s">
        <v>134</v>
      </c>
      <c r="AD11" s="319"/>
      <c r="AO11" s="188"/>
    </row>
    <row r="12" spans="1:41" s="158" customFormat="1" ht="16.5">
      <c r="G12" s="159"/>
      <c r="AD12" s="319"/>
    </row>
    <row r="13" spans="1:41" s="158" customFormat="1" ht="16.5">
      <c r="G13" s="159"/>
      <c r="M13" s="312"/>
      <c r="R13" s="313"/>
      <c r="S13" s="313"/>
      <c r="T13" s="313"/>
      <c r="U13" s="312"/>
      <c r="V13" s="312"/>
    </row>
    <row r="14" spans="1:41" s="158" customFormat="1" ht="16.5">
      <c r="G14" s="159"/>
      <c r="M14" s="312"/>
      <c r="R14" s="313"/>
      <c r="S14" s="313"/>
      <c r="T14" s="313"/>
      <c r="U14" s="312"/>
      <c r="V14" s="312"/>
    </row>
    <row r="15" spans="1:41" s="158" customFormat="1" ht="16.5">
      <c r="G15" s="159"/>
      <c r="M15" s="312"/>
      <c r="R15" s="313"/>
      <c r="S15" s="313"/>
      <c r="T15" s="313"/>
      <c r="U15" s="312"/>
      <c r="V15" s="312"/>
    </row>
    <row r="16" spans="1:41" s="158" customFormat="1" ht="16.5">
      <c r="G16" s="159"/>
    </row>
    <row r="17" spans="1:14" s="158" customFormat="1" ht="16.5">
      <c r="G17" s="159"/>
    </row>
    <row r="18" spans="1:14" s="158" customFormat="1" ht="16.5">
      <c r="G18" s="159"/>
    </row>
    <row r="19" spans="1:14" s="158" customFormat="1" ht="16.5">
      <c r="G19" s="159"/>
    </row>
    <row r="20" spans="1:14" s="158" customFormat="1" ht="16.5">
      <c r="G20" s="159"/>
    </row>
    <row r="21" spans="1:14" s="158" customFormat="1" ht="16.5">
      <c r="G21" s="159"/>
    </row>
    <row r="22" spans="1:14" s="158" customFormat="1" ht="16.5">
      <c r="G22" s="159"/>
    </row>
    <row r="23" spans="1:14" s="158" customFormat="1" ht="16.5">
      <c r="G23" s="159"/>
      <c r="N23" s="160"/>
    </row>
    <row r="24" spans="1:14" s="158" customFormat="1" ht="16.5">
      <c r="G24" s="159"/>
      <c r="N24" s="160"/>
    </row>
    <row r="25" spans="1:14" s="158" customFormat="1" ht="16.5">
      <c r="A25" s="167"/>
      <c r="F25" s="168"/>
      <c r="G25" s="169"/>
    </row>
    <row r="26" spans="1:14" s="158" customFormat="1" ht="16.5">
      <c r="G26" s="159"/>
    </row>
    <row r="27" spans="1:14" s="158" customFormat="1" ht="16.5">
      <c r="G27" s="159"/>
    </row>
    <row r="28" spans="1:14" s="158" customFormat="1" ht="16.5">
      <c r="G28" s="159"/>
    </row>
    <row r="29" spans="1:14" s="158" customFormat="1" ht="16.5">
      <c r="G29" s="159"/>
    </row>
    <row r="30" spans="1:14" s="158" customFormat="1" ht="16.5">
      <c r="G30" s="159"/>
    </row>
    <row r="31" spans="1:14" s="158" customFormat="1" ht="16.5">
      <c r="G31" s="159"/>
    </row>
    <row r="32" spans="1:14" s="158" customFormat="1" ht="16.5">
      <c r="G32" s="159"/>
    </row>
    <row r="33" spans="7:82" s="158" customFormat="1" ht="16.5">
      <c r="G33" s="159"/>
    </row>
    <row r="34" spans="7:82" s="158" customFormat="1" ht="16.5">
      <c r="G34" s="159"/>
    </row>
    <row r="35" spans="7:82" s="158" customFormat="1" ht="16.5">
      <c r="G35" s="159"/>
      <c r="O35" s="307"/>
    </row>
    <row r="36" spans="7:82" s="158" customFormat="1" ht="16.5">
      <c r="G36" s="159"/>
    </row>
    <row r="37" spans="7:82" s="158" customFormat="1" ht="16.5">
      <c r="G37" s="159"/>
    </row>
    <row r="38" spans="7:82" s="158" customFormat="1" ht="16.5">
      <c r="G38" s="159"/>
    </row>
    <row r="39" spans="7:82" s="158" customFormat="1" ht="16.5">
      <c r="G39" s="159"/>
    </row>
    <row r="40" spans="7:82" s="158" customFormat="1" ht="16.5">
      <c r="G40" s="159"/>
    </row>
    <row r="41" spans="7:82" s="158" customFormat="1" ht="16.5">
      <c r="G41" s="159"/>
    </row>
    <row r="42" spans="7:82" s="158" customFormat="1" ht="16.5">
      <c r="G42" s="159"/>
    </row>
    <row r="43" spans="7:82" s="158" customFormat="1" ht="16.5">
      <c r="G43" s="159"/>
    </row>
    <row r="44" spans="7:82" s="158" customFormat="1" ht="16.5">
      <c r="G44" s="159"/>
    </row>
    <row r="45" spans="7:82" s="158" customFormat="1" ht="16.5">
      <c r="G45" s="159"/>
    </row>
    <row r="46" spans="7:82" s="158" customFormat="1" ht="16.5">
      <c r="G46" s="159"/>
    </row>
    <row r="47" spans="7:82" s="158" customFormat="1" ht="16.5">
      <c r="G47" s="159"/>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row>
    <row r="48" spans="7:82" s="158" customFormat="1" ht="16.5">
      <c r="G48" s="159"/>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5"/>
      <c r="BR48" s="325"/>
      <c r="BS48" s="325"/>
      <c r="BT48" s="325"/>
      <c r="BU48" s="325"/>
      <c r="BV48" s="325"/>
      <c r="BW48" s="325"/>
      <c r="BX48" s="325"/>
      <c r="BY48" s="325"/>
      <c r="BZ48" s="325"/>
      <c r="CA48" s="325"/>
      <c r="CB48" s="325"/>
      <c r="CC48" s="325"/>
      <c r="CD48" s="325"/>
    </row>
    <row r="49" spans="1:11" s="158" customFormat="1" ht="16.5">
      <c r="G49" s="159"/>
    </row>
    <row r="50" spans="1:11" s="158" customFormat="1" ht="16.5">
      <c r="A50" s="314"/>
      <c r="B50" s="189" t="s">
        <v>187</v>
      </c>
      <c r="C50" s="174"/>
      <c r="D50" s="174"/>
      <c r="E50" s="174"/>
      <c r="F50" s="744">
        <f>グラフデータ!D57</f>
        <v>1000000</v>
      </c>
      <c r="G50" s="744"/>
      <c r="H50" s="744"/>
      <c r="I50" s="294" t="s">
        <v>133</v>
      </c>
      <c r="J50" s="310">
        <f>グラフデータ!E57</f>
        <v>0.9</v>
      </c>
      <c r="K50" s="177" t="s">
        <v>134</v>
      </c>
    </row>
    <row r="51" spans="1:11" s="158" customFormat="1" ht="16.5">
      <c r="B51" s="178" t="s">
        <v>25</v>
      </c>
      <c r="C51" s="170"/>
      <c r="D51" s="170"/>
      <c r="E51" s="170"/>
      <c r="F51" s="745">
        <f>グラフデータ!D56</f>
        <v>532880</v>
      </c>
      <c r="G51" s="745"/>
      <c r="H51" s="745"/>
      <c r="I51" s="293" t="s">
        <v>133</v>
      </c>
      <c r="J51" s="191">
        <f>グラフデータ!E56</f>
        <v>0.5</v>
      </c>
      <c r="K51" s="181" t="s">
        <v>134</v>
      </c>
    </row>
    <row r="52" spans="1:11" s="158" customFormat="1" ht="16.5">
      <c r="B52" s="178" t="s">
        <v>28</v>
      </c>
      <c r="C52" s="170"/>
      <c r="D52" s="170"/>
      <c r="E52" s="170"/>
      <c r="F52" s="745">
        <f>グラフデータ!D58</f>
        <v>103010</v>
      </c>
      <c r="G52" s="745"/>
      <c r="H52" s="745"/>
      <c r="I52" s="293" t="s">
        <v>133</v>
      </c>
      <c r="J52" s="191">
        <f>グラフデータ!E58</f>
        <v>0.1</v>
      </c>
      <c r="K52" s="181" t="s">
        <v>134</v>
      </c>
    </row>
    <row r="53" spans="1:11" s="158" customFormat="1" ht="16.5">
      <c r="B53" s="182" t="s">
        <v>29</v>
      </c>
      <c r="C53" s="183"/>
      <c r="D53" s="183"/>
      <c r="E53" s="183"/>
      <c r="F53" s="746">
        <f>グラフデータ!D59</f>
        <v>52000</v>
      </c>
      <c r="G53" s="746"/>
      <c r="H53" s="746"/>
      <c r="I53" s="296" t="s">
        <v>133</v>
      </c>
      <c r="J53" s="195">
        <f>グラフデータ!E59</f>
        <v>0</v>
      </c>
      <c r="K53" s="186" t="s">
        <v>134</v>
      </c>
    </row>
    <row r="54" spans="1:11" s="158" customFormat="1" ht="16.5">
      <c r="G54" s="159"/>
    </row>
    <row r="55" spans="1:11" s="158" customFormat="1" ht="16.5">
      <c r="B55" s="188"/>
      <c r="C55" s="170"/>
      <c r="D55" s="170"/>
      <c r="E55" s="170"/>
      <c r="F55" s="713"/>
      <c r="G55" s="713"/>
      <c r="H55" s="293"/>
      <c r="I55" s="311"/>
      <c r="J55" s="188"/>
      <c r="K55" s="170"/>
    </row>
    <row r="56" spans="1:11" s="158" customFormat="1" ht="16.5">
      <c r="B56" s="170"/>
      <c r="C56" s="170"/>
      <c r="D56" s="170"/>
      <c r="E56" s="170"/>
      <c r="F56" s="170"/>
      <c r="G56" s="315"/>
      <c r="H56" s="170"/>
      <c r="I56" s="170"/>
      <c r="J56" s="170"/>
      <c r="K56" s="170"/>
    </row>
    <row r="57" spans="1:11" s="158" customFormat="1" ht="16.5">
      <c r="G57" s="159"/>
    </row>
    <row r="58" spans="1:11" s="158" customFormat="1" ht="16.5">
      <c r="G58" s="159"/>
    </row>
    <row r="59" spans="1:11" s="158" customFormat="1" ht="16.5">
      <c r="G59" s="159"/>
    </row>
    <row r="60" spans="1:11" s="158" customFormat="1" ht="16.5">
      <c r="G60" s="159"/>
    </row>
    <row r="61" spans="1:11" s="158" customFormat="1" ht="16.5">
      <c r="G61" s="159"/>
    </row>
  </sheetData>
  <mergeCells count="13">
    <mergeCell ref="R7:S7"/>
    <mergeCell ref="R6:S6"/>
    <mergeCell ref="A2:AB3"/>
    <mergeCell ref="R5:S5"/>
    <mergeCell ref="F55:G55"/>
    <mergeCell ref="R8:S8"/>
    <mergeCell ref="R9:S9"/>
    <mergeCell ref="R10:S10"/>
    <mergeCell ref="R11:S11"/>
    <mergeCell ref="F50:H50"/>
    <mergeCell ref="F51:H51"/>
    <mergeCell ref="F52:H52"/>
    <mergeCell ref="F53:H53"/>
  </mergeCells>
  <phoneticPr fontId="6"/>
  <printOptions horizontalCentered="1"/>
  <pageMargins left="0.78740157480314965" right="0.55118110236220474" top="0.78740157480314965" bottom="0.62992125984251968" header="0.51181102362204722" footer="0.51181102362204722"/>
  <pageSetup paperSize="9" scale="88" orientation="portrait" cellComments="asDisplayed"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CD130"/>
  <sheetViews>
    <sheetView view="pageBreakPreview" zoomScaleNormal="85" zoomScaleSheetLayoutView="100" workbookViewId="0">
      <selection activeCell="G66" sqref="G66"/>
    </sheetView>
  </sheetViews>
  <sheetFormatPr defaultColWidth="9" defaultRowHeight="12.75"/>
  <cols>
    <col min="1" max="1" width="1.625" style="291" customWidth="1"/>
    <col min="2" max="2" width="36.375" style="291" customWidth="1"/>
    <col min="3" max="4" width="1.625" style="288" customWidth="1"/>
    <col min="5" max="5" width="26.625" style="291" customWidth="1"/>
    <col min="6" max="6" width="1.625" style="290" customWidth="1"/>
    <col min="7" max="7" width="1.125" style="290" customWidth="1"/>
    <col min="8" max="8" width="20.625" style="291" customWidth="1"/>
    <col min="9" max="9" width="0.875" style="291" customWidth="1"/>
    <col min="10" max="11" width="12.125" style="291" customWidth="1"/>
    <col min="12" max="16384" width="9" style="291"/>
  </cols>
  <sheetData>
    <row r="1" spans="1:13" s="282" customFormat="1" ht="33" customHeight="1">
      <c r="A1" s="747" t="s">
        <v>94</v>
      </c>
      <c r="B1" s="747"/>
      <c r="C1" s="747"/>
      <c r="D1" s="747"/>
      <c r="E1" s="747"/>
      <c r="F1" s="747"/>
      <c r="G1" s="747"/>
      <c r="H1" s="747"/>
      <c r="I1" s="747"/>
      <c r="J1" s="196"/>
      <c r="K1" s="196" t="s">
        <v>181</v>
      </c>
    </row>
    <row r="2" spans="1:13" s="282" customFormat="1" ht="22.5" customHeight="1">
      <c r="A2" s="283"/>
      <c r="B2" s="283"/>
      <c r="C2" s="283"/>
      <c r="D2" s="283"/>
      <c r="E2" s="283"/>
      <c r="F2" s="283"/>
      <c r="G2" s="283"/>
      <c r="H2" s="283"/>
      <c r="I2" s="283"/>
      <c r="J2" s="200"/>
      <c r="K2" s="158"/>
    </row>
    <row r="3" spans="1:13" s="321" customFormat="1" ht="25.35" customHeight="1">
      <c r="A3" s="748" t="s">
        <v>90</v>
      </c>
      <c r="B3" s="749"/>
      <c r="C3" s="749"/>
      <c r="D3" s="748" t="s">
        <v>91</v>
      </c>
      <c r="E3" s="749"/>
      <c r="F3" s="750"/>
      <c r="G3" s="751" t="s">
        <v>92</v>
      </c>
      <c r="H3" s="751"/>
      <c r="I3" s="752"/>
      <c r="J3" s="320"/>
      <c r="K3" s="753" t="s">
        <v>201</v>
      </c>
      <c r="L3" s="754"/>
      <c r="M3" s="754"/>
    </row>
    <row r="4" spans="1:13" s="321" customFormat="1" ht="19.5" customHeight="1">
      <c r="A4" s="530"/>
      <c r="B4" s="531"/>
      <c r="C4" s="531"/>
      <c r="D4" s="530"/>
      <c r="E4" s="531"/>
      <c r="F4" s="545"/>
      <c r="G4" s="532"/>
      <c r="H4" s="533" t="s">
        <v>93</v>
      </c>
      <c r="I4" s="534"/>
    </row>
    <row r="5" spans="1:13" s="284" customFormat="1" ht="39.75" customHeight="1">
      <c r="A5" s="450"/>
      <c r="B5" s="451" t="s">
        <v>274</v>
      </c>
      <c r="C5" s="452"/>
      <c r="D5" s="546"/>
      <c r="E5" s="453" t="s">
        <v>275</v>
      </c>
      <c r="F5" s="547"/>
      <c r="G5" s="542"/>
      <c r="H5" s="454">
        <v>175000</v>
      </c>
      <c r="I5" s="455"/>
    </row>
    <row r="6" spans="1:13" s="284" customFormat="1" ht="39.950000000000003" customHeight="1">
      <c r="A6" s="535"/>
      <c r="B6" s="536" t="s">
        <v>276</v>
      </c>
      <c r="C6" s="537"/>
      <c r="D6" s="548"/>
      <c r="E6" s="538" t="s">
        <v>275</v>
      </c>
      <c r="F6" s="549"/>
      <c r="G6" s="543"/>
      <c r="H6" s="539">
        <v>12000</v>
      </c>
      <c r="I6" s="540"/>
    </row>
    <row r="7" spans="1:13" s="285" customFormat="1" ht="39.950000000000003" customHeight="1">
      <c r="A7" s="535"/>
      <c r="B7" s="536" t="s">
        <v>277</v>
      </c>
      <c r="C7" s="537"/>
      <c r="D7" s="548"/>
      <c r="E7" s="538" t="s">
        <v>275</v>
      </c>
      <c r="F7" s="549"/>
      <c r="G7" s="543"/>
      <c r="H7" s="539">
        <v>46000</v>
      </c>
      <c r="I7" s="540"/>
      <c r="J7" s="284"/>
    </row>
    <row r="8" spans="1:13" s="285" customFormat="1" ht="39.950000000000003" customHeight="1">
      <c r="A8" s="535"/>
      <c r="B8" s="536" t="s">
        <v>278</v>
      </c>
      <c r="C8" s="537"/>
      <c r="D8" s="548"/>
      <c r="E8" s="538" t="s">
        <v>275</v>
      </c>
      <c r="F8" s="549"/>
      <c r="G8" s="543"/>
      <c r="H8" s="539">
        <v>1120000</v>
      </c>
      <c r="I8" s="540"/>
      <c r="J8" s="284"/>
    </row>
    <row r="9" spans="1:13" s="285" customFormat="1" ht="39.950000000000003" customHeight="1">
      <c r="A9" s="535"/>
      <c r="B9" s="536" t="s">
        <v>279</v>
      </c>
      <c r="C9" s="537"/>
      <c r="D9" s="548"/>
      <c r="E9" s="538" t="s">
        <v>275</v>
      </c>
      <c r="F9" s="549"/>
      <c r="G9" s="543"/>
      <c r="H9" s="539">
        <v>1832000</v>
      </c>
      <c r="I9" s="540"/>
      <c r="J9" s="284"/>
    </row>
    <row r="10" spans="1:13" s="285" customFormat="1" ht="39.950000000000003" customHeight="1">
      <c r="A10" s="535"/>
      <c r="B10" s="536" t="s">
        <v>280</v>
      </c>
      <c r="C10" s="537"/>
      <c r="D10" s="548"/>
      <c r="E10" s="538" t="s">
        <v>275</v>
      </c>
      <c r="F10" s="549"/>
      <c r="G10" s="543"/>
      <c r="H10" s="539">
        <v>17600</v>
      </c>
      <c r="I10" s="540"/>
      <c r="J10" s="284"/>
    </row>
    <row r="11" spans="1:13" s="285" customFormat="1" ht="39.950000000000003" customHeight="1">
      <c r="A11" s="535"/>
      <c r="B11" s="536" t="s">
        <v>281</v>
      </c>
      <c r="C11" s="537"/>
      <c r="D11" s="548"/>
      <c r="E11" s="538" t="s">
        <v>275</v>
      </c>
      <c r="F11" s="549"/>
      <c r="G11" s="543"/>
      <c r="H11" s="539">
        <v>13000</v>
      </c>
      <c r="I11" s="540"/>
      <c r="J11" s="284"/>
    </row>
    <row r="12" spans="1:13" s="285" customFormat="1" ht="39.950000000000003" customHeight="1">
      <c r="A12" s="535"/>
      <c r="B12" s="536" t="s">
        <v>282</v>
      </c>
      <c r="C12" s="537"/>
      <c r="D12" s="548"/>
      <c r="E12" s="538" t="s">
        <v>275</v>
      </c>
      <c r="F12" s="549"/>
      <c r="G12" s="543"/>
      <c r="H12" s="539">
        <v>13000</v>
      </c>
      <c r="I12" s="540"/>
      <c r="J12" s="284"/>
    </row>
    <row r="13" spans="1:13" s="285" customFormat="1" ht="39.950000000000003" customHeight="1">
      <c r="A13" s="535"/>
      <c r="B13" s="536" t="s">
        <v>283</v>
      </c>
      <c r="C13" s="537"/>
      <c r="D13" s="548"/>
      <c r="E13" s="538" t="s">
        <v>275</v>
      </c>
      <c r="F13" s="549"/>
      <c r="G13" s="543"/>
      <c r="H13" s="541">
        <v>140000</v>
      </c>
      <c r="I13" s="540"/>
      <c r="J13" s="284"/>
    </row>
    <row r="14" spans="1:13" s="285" customFormat="1" ht="39.950000000000003" customHeight="1">
      <c r="A14" s="535"/>
      <c r="B14" s="536" t="s">
        <v>284</v>
      </c>
      <c r="C14" s="537"/>
      <c r="D14" s="548"/>
      <c r="E14" s="538" t="s">
        <v>275</v>
      </c>
      <c r="F14" s="549"/>
      <c r="G14" s="543"/>
      <c r="H14" s="539">
        <v>1500</v>
      </c>
      <c r="I14" s="540"/>
      <c r="J14" s="284"/>
    </row>
    <row r="15" spans="1:13" s="285" customFormat="1" ht="39.950000000000003" customHeight="1">
      <c r="A15" s="535"/>
      <c r="B15" s="536" t="s">
        <v>285</v>
      </c>
      <c r="C15" s="537"/>
      <c r="D15" s="548"/>
      <c r="E15" s="538" t="s">
        <v>286</v>
      </c>
      <c r="F15" s="549"/>
      <c r="G15" s="543"/>
      <c r="H15" s="539">
        <v>5770</v>
      </c>
      <c r="I15" s="540"/>
      <c r="J15" s="284"/>
    </row>
    <row r="16" spans="1:13" s="285" customFormat="1" ht="39.950000000000003" customHeight="1">
      <c r="A16" s="535"/>
      <c r="B16" s="536" t="s">
        <v>287</v>
      </c>
      <c r="C16" s="537"/>
      <c r="D16" s="548"/>
      <c r="E16" s="538" t="s">
        <v>275</v>
      </c>
      <c r="F16" s="549"/>
      <c r="G16" s="543"/>
      <c r="H16" s="539">
        <v>180000</v>
      </c>
      <c r="I16" s="540"/>
      <c r="J16" s="284"/>
    </row>
    <row r="17" spans="1:10" s="285" customFormat="1" ht="39.950000000000003" customHeight="1">
      <c r="A17" s="535"/>
      <c r="B17" s="536" t="s">
        <v>288</v>
      </c>
      <c r="C17" s="537"/>
      <c r="D17" s="548"/>
      <c r="E17" s="538" t="s">
        <v>275</v>
      </c>
      <c r="F17" s="549"/>
      <c r="G17" s="543"/>
      <c r="H17" s="539">
        <v>150000</v>
      </c>
      <c r="I17" s="540"/>
      <c r="J17" s="284"/>
    </row>
    <row r="18" spans="1:10" s="285" customFormat="1" ht="39.950000000000003" customHeight="1">
      <c r="A18" s="535"/>
      <c r="B18" s="536" t="s">
        <v>289</v>
      </c>
      <c r="C18" s="537"/>
      <c r="D18" s="548"/>
      <c r="E18" s="538" t="s">
        <v>275</v>
      </c>
      <c r="F18" s="549"/>
      <c r="G18" s="543"/>
      <c r="H18" s="539">
        <v>10800</v>
      </c>
      <c r="I18" s="540"/>
      <c r="J18" s="284"/>
    </row>
    <row r="19" spans="1:10" s="285" customFormat="1" ht="39.950000000000003" customHeight="1">
      <c r="A19" s="535"/>
      <c r="B19" s="536" t="s">
        <v>290</v>
      </c>
      <c r="C19" s="537"/>
      <c r="D19" s="548"/>
      <c r="E19" s="538" t="s">
        <v>275</v>
      </c>
      <c r="F19" s="549"/>
      <c r="G19" s="543"/>
      <c r="H19" s="539">
        <v>3928000</v>
      </c>
      <c r="I19" s="540"/>
      <c r="J19" s="284"/>
    </row>
    <row r="20" spans="1:10" s="285" customFormat="1" ht="39.950000000000003" customHeight="1">
      <c r="A20" s="535"/>
      <c r="B20" s="536" t="s">
        <v>291</v>
      </c>
      <c r="C20" s="537"/>
      <c r="D20" s="548"/>
      <c r="E20" s="538" t="s">
        <v>292</v>
      </c>
      <c r="F20" s="549"/>
      <c r="G20" s="543"/>
      <c r="H20" s="539">
        <v>1098000</v>
      </c>
      <c r="I20" s="540"/>
      <c r="J20" s="284"/>
    </row>
    <row r="21" spans="1:10" s="285" customFormat="1" ht="39.950000000000003" customHeight="1">
      <c r="A21" s="535"/>
      <c r="B21" s="536" t="s">
        <v>293</v>
      </c>
      <c r="C21" s="537"/>
      <c r="D21" s="548"/>
      <c r="E21" s="538" t="s">
        <v>299</v>
      </c>
      <c r="F21" s="549"/>
      <c r="G21" s="543"/>
      <c r="H21" s="539">
        <v>72500</v>
      </c>
      <c r="I21" s="540"/>
      <c r="J21" s="284"/>
    </row>
    <row r="22" spans="1:10" s="285" customFormat="1" ht="39.950000000000003" customHeight="1">
      <c r="A22" s="535"/>
      <c r="B22" s="536" t="s">
        <v>294</v>
      </c>
      <c r="C22" s="537"/>
      <c r="D22" s="548"/>
      <c r="E22" s="538" t="s">
        <v>299</v>
      </c>
      <c r="F22" s="549"/>
      <c r="G22" s="543"/>
      <c r="H22" s="539">
        <v>74000</v>
      </c>
      <c r="I22" s="540"/>
      <c r="J22" s="284"/>
    </row>
    <row r="23" spans="1:10" s="285" customFormat="1" ht="39.950000000000003" customHeight="1">
      <c r="A23" s="416"/>
      <c r="B23" s="418" t="s">
        <v>295</v>
      </c>
      <c r="C23" s="419"/>
      <c r="D23" s="550"/>
      <c r="E23" s="420" t="s">
        <v>299</v>
      </c>
      <c r="F23" s="551"/>
      <c r="G23" s="544"/>
      <c r="H23" s="421">
        <v>8000</v>
      </c>
      <c r="I23" s="417"/>
      <c r="J23" s="284"/>
    </row>
    <row r="24" spans="1:10" s="282" customFormat="1">
      <c r="C24" s="286"/>
      <c r="D24" s="286"/>
      <c r="F24" s="287"/>
      <c r="G24" s="287"/>
    </row>
    <row r="25" spans="1:10" s="282" customFormat="1">
      <c r="C25" s="286"/>
      <c r="D25" s="286"/>
      <c r="F25" s="287"/>
      <c r="G25" s="287"/>
    </row>
    <row r="26" spans="1:10" s="282" customFormat="1">
      <c r="C26" s="286"/>
      <c r="D26" s="286"/>
      <c r="F26" s="287"/>
      <c r="G26" s="287"/>
    </row>
    <row r="27" spans="1:10" s="282" customFormat="1">
      <c r="C27" s="286"/>
      <c r="D27" s="286"/>
      <c r="F27" s="287"/>
      <c r="G27" s="287"/>
    </row>
    <row r="28" spans="1:10" s="282" customFormat="1">
      <c r="C28" s="286"/>
      <c r="D28" s="286"/>
      <c r="F28" s="287"/>
      <c r="G28" s="287"/>
    </row>
    <row r="29" spans="1:10" s="282" customFormat="1">
      <c r="C29" s="286"/>
      <c r="D29" s="286"/>
      <c r="F29" s="287"/>
      <c r="G29" s="287"/>
    </row>
    <row r="30" spans="1:10" s="282" customFormat="1">
      <c r="C30" s="286"/>
      <c r="D30" s="286"/>
      <c r="F30" s="287"/>
      <c r="G30" s="287"/>
    </row>
    <row r="31" spans="1:10" s="282" customFormat="1">
      <c r="C31" s="286"/>
      <c r="D31" s="286"/>
      <c r="F31" s="287"/>
      <c r="G31" s="287"/>
    </row>
    <row r="32" spans="1:10" s="282" customFormat="1">
      <c r="C32" s="286"/>
      <c r="D32" s="286"/>
      <c r="F32" s="287"/>
      <c r="G32" s="287"/>
    </row>
    <row r="33" spans="3:7" s="282" customFormat="1">
      <c r="C33" s="286"/>
      <c r="D33" s="286"/>
      <c r="F33" s="287"/>
      <c r="G33" s="287"/>
    </row>
    <row r="34" spans="3:7" s="282" customFormat="1">
      <c r="C34" s="286"/>
      <c r="D34" s="286"/>
      <c r="F34" s="287"/>
      <c r="G34" s="287"/>
    </row>
    <row r="35" spans="3:7" s="282" customFormat="1">
      <c r="C35" s="286"/>
      <c r="D35" s="286"/>
      <c r="F35" s="287"/>
      <c r="G35" s="287"/>
    </row>
    <row r="36" spans="3:7" s="282" customFormat="1">
      <c r="C36" s="286"/>
      <c r="D36" s="286"/>
      <c r="F36" s="287"/>
      <c r="G36" s="287"/>
    </row>
    <row r="37" spans="3:7" s="282" customFormat="1">
      <c r="C37" s="286"/>
      <c r="D37" s="286"/>
      <c r="F37" s="287"/>
      <c r="G37" s="287"/>
    </row>
    <row r="38" spans="3:7" s="282" customFormat="1">
      <c r="C38" s="286"/>
      <c r="D38" s="286"/>
      <c r="F38" s="287"/>
      <c r="G38" s="287"/>
    </row>
    <row r="39" spans="3:7" s="282" customFormat="1">
      <c r="C39" s="286"/>
      <c r="D39" s="286"/>
      <c r="F39" s="287"/>
      <c r="G39" s="287"/>
    </row>
    <row r="40" spans="3:7" s="282" customFormat="1">
      <c r="C40" s="286"/>
      <c r="D40" s="286"/>
      <c r="F40" s="287"/>
      <c r="G40" s="287"/>
    </row>
    <row r="41" spans="3:7" s="282" customFormat="1">
      <c r="C41" s="286"/>
      <c r="D41" s="286"/>
      <c r="F41" s="287"/>
      <c r="G41" s="287"/>
    </row>
    <row r="42" spans="3:7">
      <c r="E42" s="289"/>
    </row>
    <row r="43" spans="3:7">
      <c r="E43" s="289"/>
    </row>
    <row r="44" spans="3:7">
      <c r="E44" s="289"/>
    </row>
    <row r="45" spans="3:7">
      <c r="E45" s="289"/>
    </row>
    <row r="46" spans="3:7">
      <c r="E46" s="289"/>
    </row>
    <row r="47" spans="3:7">
      <c r="E47" s="289"/>
    </row>
    <row r="48" spans="3:7">
      <c r="E48" s="289"/>
    </row>
    <row r="49" spans="5:82">
      <c r="E49" s="289"/>
    </row>
    <row r="50" spans="5:82">
      <c r="E50" s="289"/>
    </row>
    <row r="51" spans="5:82">
      <c r="E51" s="289"/>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4"/>
      <c r="BR51" s="324"/>
      <c r="BS51" s="324"/>
      <c r="BT51" s="324"/>
      <c r="BU51" s="324"/>
      <c r="BV51" s="324"/>
      <c r="BW51" s="324"/>
      <c r="BX51" s="324"/>
      <c r="BY51" s="324"/>
      <c r="BZ51" s="324"/>
      <c r="CA51" s="324"/>
      <c r="CB51" s="324"/>
      <c r="CC51" s="324"/>
      <c r="CD51" s="324"/>
    </row>
    <row r="52" spans="5:82">
      <c r="E52" s="289"/>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4"/>
      <c r="BR52" s="324"/>
      <c r="BS52" s="324"/>
      <c r="BT52" s="324"/>
      <c r="BU52" s="324"/>
      <c r="BV52" s="324"/>
      <c r="BW52" s="324"/>
      <c r="BX52" s="324"/>
      <c r="BY52" s="324"/>
      <c r="BZ52" s="324"/>
      <c r="CA52" s="324"/>
      <c r="CB52" s="324"/>
      <c r="CC52" s="324"/>
      <c r="CD52" s="324"/>
    </row>
    <row r="53" spans="5:82">
      <c r="E53" s="289"/>
    </row>
    <row r="54" spans="5:82">
      <c r="E54" s="289"/>
    </row>
    <row r="55" spans="5:82">
      <c r="E55" s="289"/>
    </row>
    <row r="56" spans="5:82">
      <c r="E56" s="289"/>
    </row>
    <row r="57" spans="5:82">
      <c r="E57" s="289"/>
    </row>
    <row r="58" spans="5:82">
      <c r="E58" s="289"/>
    </row>
    <row r="59" spans="5:82">
      <c r="E59" s="289"/>
    </row>
    <row r="60" spans="5:82">
      <c r="E60" s="289"/>
    </row>
    <row r="61" spans="5:82">
      <c r="E61" s="289"/>
    </row>
    <row r="62" spans="5:82">
      <c r="E62" s="289"/>
    </row>
    <row r="63" spans="5:82">
      <c r="E63" s="289"/>
    </row>
    <row r="64" spans="5:82">
      <c r="E64" s="289"/>
    </row>
    <row r="65" spans="5:5">
      <c r="E65" s="289"/>
    </row>
    <row r="66" spans="5:5">
      <c r="E66" s="289"/>
    </row>
    <row r="67" spans="5:5" ht="12.75" customHeight="1">
      <c r="E67" s="289"/>
    </row>
    <row r="68" spans="5:5" ht="12.75" customHeight="1">
      <c r="E68" s="289"/>
    </row>
    <row r="69" spans="5:5" ht="12.75" customHeight="1">
      <c r="E69" s="289"/>
    </row>
    <row r="70" spans="5:5" ht="12.75" customHeight="1">
      <c r="E70" s="289"/>
    </row>
    <row r="71" spans="5:5">
      <c r="E71" s="289"/>
    </row>
    <row r="72" spans="5:5">
      <c r="E72" s="289"/>
    </row>
    <row r="73" spans="5:5">
      <c r="E73" s="289"/>
    </row>
    <row r="74" spans="5:5">
      <c r="E74" s="289"/>
    </row>
    <row r="75" spans="5:5">
      <c r="E75" s="289"/>
    </row>
    <row r="76" spans="5:5">
      <c r="E76" s="289"/>
    </row>
    <row r="77" spans="5:5">
      <c r="E77" s="289"/>
    </row>
    <row r="78" spans="5:5">
      <c r="E78" s="289"/>
    </row>
    <row r="79" spans="5:5">
      <c r="E79" s="289"/>
    </row>
    <row r="80" spans="5:5">
      <c r="E80" s="289"/>
    </row>
    <row r="81" spans="5:5">
      <c r="E81" s="289"/>
    </row>
    <row r="82" spans="5:5">
      <c r="E82" s="289"/>
    </row>
    <row r="83" spans="5:5">
      <c r="E83" s="289"/>
    </row>
    <row r="84" spans="5:5">
      <c r="E84" s="289"/>
    </row>
    <row r="85" spans="5:5">
      <c r="E85" s="289"/>
    </row>
    <row r="86" spans="5:5">
      <c r="E86" s="289"/>
    </row>
    <row r="87" spans="5:5">
      <c r="E87" s="289"/>
    </row>
    <row r="88" spans="5:5">
      <c r="E88" s="289"/>
    </row>
    <row r="89" spans="5:5">
      <c r="E89" s="289"/>
    </row>
    <row r="90" spans="5:5">
      <c r="E90" s="289"/>
    </row>
    <row r="91" spans="5:5">
      <c r="E91" s="289"/>
    </row>
    <row r="92" spans="5:5">
      <c r="E92" s="289"/>
    </row>
    <row r="93" spans="5:5">
      <c r="E93" s="289"/>
    </row>
    <row r="94" spans="5:5">
      <c r="E94" s="289"/>
    </row>
    <row r="95" spans="5:5">
      <c r="E95" s="289"/>
    </row>
    <row r="96" spans="5:5">
      <c r="E96" s="289"/>
    </row>
    <row r="97" spans="5:5">
      <c r="E97" s="289"/>
    </row>
    <row r="98" spans="5:5">
      <c r="E98" s="289"/>
    </row>
    <row r="99" spans="5:5">
      <c r="E99" s="289"/>
    </row>
    <row r="100" spans="5:5">
      <c r="E100" s="289"/>
    </row>
    <row r="101" spans="5:5">
      <c r="E101" s="289"/>
    </row>
    <row r="102" spans="5:5">
      <c r="E102" s="289"/>
    </row>
    <row r="103" spans="5:5">
      <c r="E103" s="289"/>
    </row>
    <row r="104" spans="5:5">
      <c r="E104" s="289"/>
    </row>
    <row r="105" spans="5:5">
      <c r="E105" s="289"/>
    </row>
    <row r="106" spans="5:5">
      <c r="E106" s="289"/>
    </row>
    <row r="107" spans="5:5">
      <c r="E107" s="289"/>
    </row>
    <row r="108" spans="5:5">
      <c r="E108" s="289"/>
    </row>
    <row r="109" spans="5:5">
      <c r="E109" s="289"/>
    </row>
    <row r="110" spans="5:5">
      <c r="E110" s="289"/>
    </row>
    <row r="111" spans="5:5">
      <c r="E111" s="289"/>
    </row>
    <row r="112" spans="5:5">
      <c r="E112" s="289"/>
    </row>
    <row r="113" spans="5:5">
      <c r="E113" s="289"/>
    </row>
    <row r="114" spans="5:5">
      <c r="E114" s="289"/>
    </row>
    <row r="115" spans="5:5">
      <c r="E115" s="289"/>
    </row>
    <row r="116" spans="5:5">
      <c r="E116" s="289"/>
    </row>
    <row r="117" spans="5:5">
      <c r="E117" s="289"/>
    </row>
    <row r="118" spans="5:5">
      <c r="E118" s="289"/>
    </row>
    <row r="119" spans="5:5">
      <c r="E119" s="289"/>
    </row>
    <row r="120" spans="5:5">
      <c r="E120" s="289"/>
    </row>
    <row r="121" spans="5:5">
      <c r="E121" s="289"/>
    </row>
    <row r="122" spans="5:5">
      <c r="E122" s="289"/>
    </row>
    <row r="123" spans="5:5">
      <c r="E123" s="289"/>
    </row>
    <row r="124" spans="5:5">
      <c r="E124" s="289"/>
    </row>
    <row r="125" spans="5:5">
      <c r="E125" s="289"/>
    </row>
    <row r="126" spans="5:5">
      <c r="E126" s="289"/>
    </row>
    <row r="127" spans="5:5">
      <c r="E127" s="289"/>
    </row>
    <row r="128" spans="5:5">
      <c r="E128" s="289"/>
    </row>
    <row r="129" spans="5:5">
      <c r="E129" s="289"/>
    </row>
    <row r="130" spans="5:5">
      <c r="E130" s="289"/>
    </row>
  </sheetData>
  <mergeCells count="5">
    <mergeCell ref="A1:I1"/>
    <mergeCell ref="A3:C3"/>
    <mergeCell ref="D3:F3"/>
    <mergeCell ref="G3:I3"/>
    <mergeCell ref="K3:M3"/>
  </mergeCells>
  <phoneticPr fontId="4"/>
  <pageMargins left="0.74803149606299213" right="0.39370078740157483" top="0.43307086614173229" bottom="0.70866141732283472" header="0.51181102362204722" footer="0.51181102362204722"/>
  <pageSetup paperSize="9" scale="90" orientation="portrait" cellComments="asDisplayed"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CD50"/>
  <sheetViews>
    <sheetView showGridLines="0" view="pageBreakPreview" zoomScaleNormal="100" zoomScaleSheetLayoutView="100" workbookViewId="0">
      <selection activeCell="G66" sqref="G66"/>
    </sheetView>
  </sheetViews>
  <sheetFormatPr defaultRowHeight="12.75"/>
  <cols>
    <col min="1" max="1" width="0.875" style="343" customWidth="1"/>
    <col min="2" max="2" width="29.875" style="343" customWidth="1"/>
    <col min="3" max="3" width="12.625" style="356" customWidth="1"/>
    <col min="4" max="4" width="0.625" style="343" customWidth="1"/>
    <col min="5" max="5" width="13.625" style="343" customWidth="1"/>
    <col min="6" max="6" width="0.875" style="343" customWidth="1"/>
    <col min="7" max="7" width="13.125" style="357" customWidth="1"/>
    <col min="8" max="8" width="0.875" style="357" customWidth="1"/>
    <col min="9" max="9" width="20.625" style="343" customWidth="1"/>
    <col min="10" max="10" width="0.875" style="343" customWidth="1"/>
    <col min="11" max="11" width="27.875" style="343" bestFit="1" customWidth="1"/>
    <col min="12" max="12" width="11.5" style="343" customWidth="1"/>
    <col min="13" max="14" width="9" style="343"/>
    <col min="15" max="15" width="10.25" style="343" bestFit="1" customWidth="1"/>
    <col min="16" max="255" width="9" style="343"/>
    <col min="256" max="256" width="0.875" style="343" customWidth="1"/>
    <col min="257" max="257" width="29.875" style="343" customWidth="1"/>
    <col min="258" max="258" width="12.625" style="343" customWidth="1"/>
    <col min="259" max="259" width="0.625" style="343" customWidth="1"/>
    <col min="260" max="260" width="13.125" style="343" customWidth="1"/>
    <col min="261" max="261" width="0.875" style="343" customWidth="1"/>
    <col min="262" max="262" width="13.125" style="343" customWidth="1"/>
    <col min="263" max="263" width="0.875" style="343" customWidth="1"/>
    <col min="264" max="264" width="20.625" style="343" customWidth="1"/>
    <col min="265" max="265" width="9" style="343"/>
    <col min="266" max="266" width="27.875" style="343" bestFit="1" customWidth="1"/>
    <col min="267" max="267" width="9.375" style="343" bestFit="1" customWidth="1"/>
    <col min="268" max="511" width="9" style="343"/>
    <col min="512" max="512" width="0.875" style="343" customWidth="1"/>
    <col min="513" max="513" width="29.875" style="343" customWidth="1"/>
    <col min="514" max="514" width="12.625" style="343" customWidth="1"/>
    <col min="515" max="515" width="0.625" style="343" customWidth="1"/>
    <col min="516" max="516" width="13.125" style="343" customWidth="1"/>
    <col min="517" max="517" width="0.875" style="343" customWidth="1"/>
    <col min="518" max="518" width="13.125" style="343" customWidth="1"/>
    <col min="519" max="519" width="0.875" style="343" customWidth="1"/>
    <col min="520" max="520" width="20.625" style="343" customWidth="1"/>
    <col min="521" max="521" width="9" style="343"/>
    <col min="522" max="522" width="27.875" style="343" bestFit="1" customWidth="1"/>
    <col min="523" max="523" width="9.375" style="343" bestFit="1" customWidth="1"/>
    <col min="524" max="767" width="9" style="343"/>
    <col min="768" max="768" width="0.875" style="343" customWidth="1"/>
    <col min="769" max="769" width="29.875" style="343" customWidth="1"/>
    <col min="770" max="770" width="12.625" style="343" customWidth="1"/>
    <col min="771" max="771" width="0.625" style="343" customWidth="1"/>
    <col min="772" max="772" width="13.125" style="343" customWidth="1"/>
    <col min="773" max="773" width="0.875" style="343" customWidth="1"/>
    <col min="774" max="774" width="13.125" style="343" customWidth="1"/>
    <col min="775" max="775" width="0.875" style="343" customWidth="1"/>
    <col min="776" max="776" width="20.625" style="343" customWidth="1"/>
    <col min="777" max="777" width="9" style="343"/>
    <col min="778" max="778" width="27.875" style="343" bestFit="1" customWidth="1"/>
    <col min="779" max="779" width="9.375" style="343" bestFit="1" customWidth="1"/>
    <col min="780" max="1023" width="9" style="343"/>
    <col min="1024" max="1024" width="0.875" style="343" customWidth="1"/>
    <col min="1025" max="1025" width="29.875" style="343" customWidth="1"/>
    <col min="1026" max="1026" width="12.625" style="343" customWidth="1"/>
    <col min="1027" max="1027" width="0.625" style="343" customWidth="1"/>
    <col min="1028" max="1028" width="13.125" style="343" customWidth="1"/>
    <col min="1029" max="1029" width="0.875" style="343" customWidth="1"/>
    <col min="1030" max="1030" width="13.125" style="343" customWidth="1"/>
    <col min="1031" max="1031" width="0.875" style="343" customWidth="1"/>
    <col min="1032" max="1032" width="20.625" style="343" customWidth="1"/>
    <col min="1033" max="1033" width="9" style="343"/>
    <col min="1034" max="1034" width="27.875" style="343" bestFit="1" customWidth="1"/>
    <col min="1035" max="1035" width="9.375" style="343" bestFit="1" customWidth="1"/>
    <col min="1036" max="1279" width="9" style="343"/>
    <col min="1280" max="1280" width="0.875" style="343" customWidth="1"/>
    <col min="1281" max="1281" width="29.875" style="343" customWidth="1"/>
    <col min="1282" max="1282" width="12.625" style="343" customWidth="1"/>
    <col min="1283" max="1283" width="0.625" style="343" customWidth="1"/>
    <col min="1284" max="1284" width="13.125" style="343" customWidth="1"/>
    <col min="1285" max="1285" width="0.875" style="343" customWidth="1"/>
    <col min="1286" max="1286" width="13.125" style="343" customWidth="1"/>
    <col min="1287" max="1287" width="0.875" style="343" customWidth="1"/>
    <col min="1288" max="1288" width="20.625" style="343" customWidth="1"/>
    <col min="1289" max="1289" width="9" style="343"/>
    <col min="1290" max="1290" width="27.875" style="343" bestFit="1" customWidth="1"/>
    <col min="1291" max="1291" width="9.375" style="343" bestFit="1" customWidth="1"/>
    <col min="1292" max="1535" width="9" style="343"/>
    <col min="1536" max="1536" width="0.875" style="343" customWidth="1"/>
    <col min="1537" max="1537" width="29.875" style="343" customWidth="1"/>
    <col min="1538" max="1538" width="12.625" style="343" customWidth="1"/>
    <col min="1539" max="1539" width="0.625" style="343" customWidth="1"/>
    <col min="1540" max="1540" width="13.125" style="343" customWidth="1"/>
    <col min="1541" max="1541" width="0.875" style="343" customWidth="1"/>
    <col min="1542" max="1542" width="13.125" style="343" customWidth="1"/>
    <col min="1543" max="1543" width="0.875" style="343" customWidth="1"/>
    <col min="1544" max="1544" width="20.625" style="343" customWidth="1"/>
    <col min="1545" max="1545" width="9" style="343"/>
    <col min="1546" max="1546" width="27.875" style="343" bestFit="1" customWidth="1"/>
    <col min="1547" max="1547" width="9.375" style="343" bestFit="1" customWidth="1"/>
    <col min="1548" max="1791" width="9" style="343"/>
    <col min="1792" max="1792" width="0.875" style="343" customWidth="1"/>
    <col min="1793" max="1793" width="29.875" style="343" customWidth="1"/>
    <col min="1794" max="1794" width="12.625" style="343" customWidth="1"/>
    <col min="1795" max="1795" width="0.625" style="343" customWidth="1"/>
    <col min="1796" max="1796" width="13.125" style="343" customWidth="1"/>
    <col min="1797" max="1797" width="0.875" style="343" customWidth="1"/>
    <col min="1798" max="1798" width="13.125" style="343" customWidth="1"/>
    <col min="1799" max="1799" width="0.875" style="343" customWidth="1"/>
    <col min="1800" max="1800" width="20.625" style="343" customWidth="1"/>
    <col min="1801" max="1801" width="9" style="343"/>
    <col min="1802" max="1802" width="27.875" style="343" bestFit="1" customWidth="1"/>
    <col min="1803" max="1803" width="9.375" style="343" bestFit="1" customWidth="1"/>
    <col min="1804" max="2047" width="9" style="343"/>
    <col min="2048" max="2048" width="0.875" style="343" customWidth="1"/>
    <col min="2049" max="2049" width="29.875" style="343" customWidth="1"/>
    <col min="2050" max="2050" width="12.625" style="343" customWidth="1"/>
    <col min="2051" max="2051" width="0.625" style="343" customWidth="1"/>
    <col min="2052" max="2052" width="13.125" style="343" customWidth="1"/>
    <col min="2053" max="2053" width="0.875" style="343" customWidth="1"/>
    <col min="2054" max="2054" width="13.125" style="343" customWidth="1"/>
    <col min="2055" max="2055" width="0.875" style="343" customWidth="1"/>
    <col min="2056" max="2056" width="20.625" style="343" customWidth="1"/>
    <col min="2057" max="2057" width="9" style="343"/>
    <col min="2058" max="2058" width="27.875" style="343" bestFit="1" customWidth="1"/>
    <col min="2059" max="2059" width="9.375" style="343" bestFit="1" customWidth="1"/>
    <col min="2060" max="2303" width="9" style="343"/>
    <col min="2304" max="2304" width="0.875" style="343" customWidth="1"/>
    <col min="2305" max="2305" width="29.875" style="343" customWidth="1"/>
    <col min="2306" max="2306" width="12.625" style="343" customWidth="1"/>
    <col min="2307" max="2307" width="0.625" style="343" customWidth="1"/>
    <col min="2308" max="2308" width="13.125" style="343" customWidth="1"/>
    <col min="2309" max="2309" width="0.875" style="343" customWidth="1"/>
    <col min="2310" max="2310" width="13.125" style="343" customWidth="1"/>
    <col min="2311" max="2311" width="0.875" style="343" customWidth="1"/>
    <col min="2312" max="2312" width="20.625" style="343" customWidth="1"/>
    <col min="2313" max="2313" width="9" style="343"/>
    <col min="2314" max="2314" width="27.875" style="343" bestFit="1" customWidth="1"/>
    <col min="2315" max="2315" width="9.375" style="343" bestFit="1" customWidth="1"/>
    <col min="2316" max="2559" width="9" style="343"/>
    <col min="2560" max="2560" width="0.875" style="343" customWidth="1"/>
    <col min="2561" max="2561" width="29.875" style="343" customWidth="1"/>
    <col min="2562" max="2562" width="12.625" style="343" customWidth="1"/>
    <col min="2563" max="2563" width="0.625" style="343" customWidth="1"/>
    <col min="2564" max="2564" width="13.125" style="343" customWidth="1"/>
    <col min="2565" max="2565" width="0.875" style="343" customWidth="1"/>
    <col min="2566" max="2566" width="13.125" style="343" customWidth="1"/>
    <col min="2567" max="2567" width="0.875" style="343" customWidth="1"/>
    <col min="2568" max="2568" width="20.625" style="343" customWidth="1"/>
    <col min="2569" max="2569" width="9" style="343"/>
    <col min="2570" max="2570" width="27.875" style="343" bestFit="1" customWidth="1"/>
    <col min="2571" max="2571" width="9.375" style="343" bestFit="1" customWidth="1"/>
    <col min="2572" max="2815" width="9" style="343"/>
    <col min="2816" max="2816" width="0.875" style="343" customWidth="1"/>
    <col min="2817" max="2817" width="29.875" style="343" customWidth="1"/>
    <col min="2818" max="2818" width="12.625" style="343" customWidth="1"/>
    <col min="2819" max="2819" width="0.625" style="343" customWidth="1"/>
    <col min="2820" max="2820" width="13.125" style="343" customWidth="1"/>
    <col min="2821" max="2821" width="0.875" style="343" customWidth="1"/>
    <col min="2822" max="2822" width="13.125" style="343" customWidth="1"/>
    <col min="2823" max="2823" width="0.875" style="343" customWidth="1"/>
    <col min="2824" max="2824" width="20.625" style="343" customWidth="1"/>
    <col min="2825" max="2825" width="9" style="343"/>
    <col min="2826" max="2826" width="27.875" style="343" bestFit="1" customWidth="1"/>
    <col min="2827" max="2827" width="9.375" style="343" bestFit="1" customWidth="1"/>
    <col min="2828" max="3071" width="9" style="343"/>
    <col min="3072" max="3072" width="0.875" style="343" customWidth="1"/>
    <col min="3073" max="3073" width="29.875" style="343" customWidth="1"/>
    <col min="3074" max="3074" width="12.625" style="343" customWidth="1"/>
    <col min="3075" max="3075" width="0.625" style="343" customWidth="1"/>
    <col min="3076" max="3076" width="13.125" style="343" customWidth="1"/>
    <col min="3077" max="3077" width="0.875" style="343" customWidth="1"/>
    <col min="3078" max="3078" width="13.125" style="343" customWidth="1"/>
    <col min="3079" max="3079" width="0.875" style="343" customWidth="1"/>
    <col min="3080" max="3080" width="20.625" style="343" customWidth="1"/>
    <col min="3081" max="3081" width="9" style="343"/>
    <col min="3082" max="3082" width="27.875" style="343" bestFit="1" customWidth="1"/>
    <col min="3083" max="3083" width="9.375" style="343" bestFit="1" customWidth="1"/>
    <col min="3084" max="3327" width="9" style="343"/>
    <col min="3328" max="3328" width="0.875" style="343" customWidth="1"/>
    <col min="3329" max="3329" width="29.875" style="343" customWidth="1"/>
    <col min="3330" max="3330" width="12.625" style="343" customWidth="1"/>
    <col min="3331" max="3331" width="0.625" style="343" customWidth="1"/>
    <col min="3332" max="3332" width="13.125" style="343" customWidth="1"/>
    <col min="3333" max="3333" width="0.875" style="343" customWidth="1"/>
    <col min="3334" max="3334" width="13.125" style="343" customWidth="1"/>
    <col min="3335" max="3335" width="0.875" style="343" customWidth="1"/>
    <col min="3336" max="3336" width="20.625" style="343" customWidth="1"/>
    <col min="3337" max="3337" width="9" style="343"/>
    <col min="3338" max="3338" width="27.875" style="343" bestFit="1" customWidth="1"/>
    <col min="3339" max="3339" width="9.375" style="343" bestFit="1" customWidth="1"/>
    <col min="3340" max="3583" width="9" style="343"/>
    <col min="3584" max="3584" width="0.875" style="343" customWidth="1"/>
    <col min="3585" max="3585" width="29.875" style="343" customWidth="1"/>
    <col min="3586" max="3586" width="12.625" style="343" customWidth="1"/>
    <col min="3587" max="3587" width="0.625" style="343" customWidth="1"/>
    <col min="3588" max="3588" width="13.125" style="343" customWidth="1"/>
    <col min="3589" max="3589" width="0.875" style="343" customWidth="1"/>
    <col min="3590" max="3590" width="13.125" style="343" customWidth="1"/>
    <col min="3591" max="3591" width="0.875" style="343" customWidth="1"/>
    <col min="3592" max="3592" width="20.625" style="343" customWidth="1"/>
    <col min="3593" max="3593" width="9" style="343"/>
    <col min="3594" max="3594" width="27.875" style="343" bestFit="1" customWidth="1"/>
    <col min="3595" max="3595" width="9.375" style="343" bestFit="1" customWidth="1"/>
    <col min="3596" max="3839" width="9" style="343"/>
    <col min="3840" max="3840" width="0.875" style="343" customWidth="1"/>
    <col min="3841" max="3841" width="29.875" style="343" customWidth="1"/>
    <col min="3842" max="3842" width="12.625" style="343" customWidth="1"/>
    <col min="3843" max="3843" width="0.625" style="343" customWidth="1"/>
    <col min="3844" max="3844" width="13.125" style="343" customWidth="1"/>
    <col min="3845" max="3845" width="0.875" style="343" customWidth="1"/>
    <col min="3846" max="3846" width="13.125" style="343" customWidth="1"/>
    <col min="3847" max="3847" width="0.875" style="343" customWidth="1"/>
    <col min="3848" max="3848" width="20.625" style="343" customWidth="1"/>
    <col min="3849" max="3849" width="9" style="343"/>
    <col min="3850" max="3850" width="27.875" style="343" bestFit="1" customWidth="1"/>
    <col min="3851" max="3851" width="9.375" style="343" bestFit="1" customWidth="1"/>
    <col min="3852" max="4095" width="9" style="343"/>
    <col min="4096" max="4096" width="0.875" style="343" customWidth="1"/>
    <col min="4097" max="4097" width="29.875" style="343" customWidth="1"/>
    <col min="4098" max="4098" width="12.625" style="343" customWidth="1"/>
    <col min="4099" max="4099" width="0.625" style="343" customWidth="1"/>
    <col min="4100" max="4100" width="13.125" style="343" customWidth="1"/>
    <col min="4101" max="4101" width="0.875" style="343" customWidth="1"/>
    <col min="4102" max="4102" width="13.125" style="343" customWidth="1"/>
    <col min="4103" max="4103" width="0.875" style="343" customWidth="1"/>
    <col min="4104" max="4104" width="20.625" style="343" customWidth="1"/>
    <col min="4105" max="4105" width="9" style="343"/>
    <col min="4106" max="4106" width="27.875" style="343" bestFit="1" customWidth="1"/>
    <col min="4107" max="4107" width="9.375" style="343" bestFit="1" customWidth="1"/>
    <col min="4108" max="4351" width="9" style="343"/>
    <col min="4352" max="4352" width="0.875" style="343" customWidth="1"/>
    <col min="4353" max="4353" width="29.875" style="343" customWidth="1"/>
    <col min="4354" max="4354" width="12.625" style="343" customWidth="1"/>
    <col min="4355" max="4355" width="0.625" style="343" customWidth="1"/>
    <col min="4356" max="4356" width="13.125" style="343" customWidth="1"/>
    <col min="4357" max="4357" width="0.875" style="343" customWidth="1"/>
    <col min="4358" max="4358" width="13.125" style="343" customWidth="1"/>
    <col min="4359" max="4359" width="0.875" style="343" customWidth="1"/>
    <col min="4360" max="4360" width="20.625" style="343" customWidth="1"/>
    <col min="4361" max="4361" width="9" style="343"/>
    <col min="4362" max="4362" width="27.875" style="343" bestFit="1" customWidth="1"/>
    <col min="4363" max="4363" width="9.375" style="343" bestFit="1" customWidth="1"/>
    <col min="4364" max="4607" width="9" style="343"/>
    <col min="4608" max="4608" width="0.875" style="343" customWidth="1"/>
    <col min="4609" max="4609" width="29.875" style="343" customWidth="1"/>
    <col min="4610" max="4610" width="12.625" style="343" customWidth="1"/>
    <col min="4611" max="4611" width="0.625" style="343" customWidth="1"/>
    <col min="4612" max="4612" width="13.125" style="343" customWidth="1"/>
    <col min="4613" max="4613" width="0.875" style="343" customWidth="1"/>
    <col min="4614" max="4614" width="13.125" style="343" customWidth="1"/>
    <col min="4615" max="4615" width="0.875" style="343" customWidth="1"/>
    <col min="4616" max="4616" width="20.625" style="343" customWidth="1"/>
    <col min="4617" max="4617" width="9" style="343"/>
    <col min="4618" max="4618" width="27.875" style="343" bestFit="1" customWidth="1"/>
    <col min="4619" max="4619" width="9.375" style="343" bestFit="1" customWidth="1"/>
    <col min="4620" max="4863" width="9" style="343"/>
    <col min="4864" max="4864" width="0.875" style="343" customWidth="1"/>
    <col min="4865" max="4865" width="29.875" style="343" customWidth="1"/>
    <col min="4866" max="4866" width="12.625" style="343" customWidth="1"/>
    <col min="4867" max="4867" width="0.625" style="343" customWidth="1"/>
    <col min="4868" max="4868" width="13.125" style="343" customWidth="1"/>
    <col min="4869" max="4869" width="0.875" style="343" customWidth="1"/>
    <col min="4870" max="4870" width="13.125" style="343" customWidth="1"/>
    <col min="4871" max="4871" width="0.875" style="343" customWidth="1"/>
    <col min="4872" max="4872" width="20.625" style="343" customWidth="1"/>
    <col min="4873" max="4873" width="9" style="343"/>
    <col min="4874" max="4874" width="27.875" style="343" bestFit="1" customWidth="1"/>
    <col min="4875" max="4875" width="9.375" style="343" bestFit="1" customWidth="1"/>
    <col min="4876" max="5119" width="9" style="343"/>
    <col min="5120" max="5120" width="0.875" style="343" customWidth="1"/>
    <col min="5121" max="5121" width="29.875" style="343" customWidth="1"/>
    <col min="5122" max="5122" width="12.625" style="343" customWidth="1"/>
    <col min="5123" max="5123" width="0.625" style="343" customWidth="1"/>
    <col min="5124" max="5124" width="13.125" style="343" customWidth="1"/>
    <col min="5125" max="5125" width="0.875" style="343" customWidth="1"/>
    <col min="5126" max="5126" width="13.125" style="343" customWidth="1"/>
    <col min="5127" max="5127" width="0.875" style="343" customWidth="1"/>
    <col min="5128" max="5128" width="20.625" style="343" customWidth="1"/>
    <col min="5129" max="5129" width="9" style="343"/>
    <col min="5130" max="5130" width="27.875" style="343" bestFit="1" customWidth="1"/>
    <col min="5131" max="5131" width="9.375" style="343" bestFit="1" customWidth="1"/>
    <col min="5132" max="5375" width="9" style="343"/>
    <col min="5376" max="5376" width="0.875" style="343" customWidth="1"/>
    <col min="5377" max="5377" width="29.875" style="343" customWidth="1"/>
    <col min="5378" max="5378" width="12.625" style="343" customWidth="1"/>
    <col min="5379" max="5379" width="0.625" style="343" customWidth="1"/>
    <col min="5380" max="5380" width="13.125" style="343" customWidth="1"/>
    <col min="5381" max="5381" width="0.875" style="343" customWidth="1"/>
    <col min="5382" max="5382" width="13.125" style="343" customWidth="1"/>
    <col min="5383" max="5383" width="0.875" style="343" customWidth="1"/>
    <col min="5384" max="5384" width="20.625" style="343" customWidth="1"/>
    <col min="5385" max="5385" width="9" style="343"/>
    <col min="5386" max="5386" width="27.875" style="343" bestFit="1" customWidth="1"/>
    <col min="5387" max="5387" width="9.375" style="343" bestFit="1" customWidth="1"/>
    <col min="5388" max="5631" width="9" style="343"/>
    <col min="5632" max="5632" width="0.875" style="343" customWidth="1"/>
    <col min="5633" max="5633" width="29.875" style="343" customWidth="1"/>
    <col min="5634" max="5634" width="12.625" style="343" customWidth="1"/>
    <col min="5635" max="5635" width="0.625" style="343" customWidth="1"/>
    <col min="5636" max="5636" width="13.125" style="343" customWidth="1"/>
    <col min="5637" max="5637" width="0.875" style="343" customWidth="1"/>
    <col min="5638" max="5638" width="13.125" style="343" customWidth="1"/>
    <col min="5639" max="5639" width="0.875" style="343" customWidth="1"/>
    <col min="5640" max="5640" width="20.625" style="343" customWidth="1"/>
    <col min="5641" max="5641" width="9" style="343"/>
    <col min="5642" max="5642" width="27.875" style="343" bestFit="1" customWidth="1"/>
    <col min="5643" max="5643" width="9.375" style="343" bestFit="1" customWidth="1"/>
    <col min="5644" max="5887" width="9" style="343"/>
    <col min="5888" max="5888" width="0.875" style="343" customWidth="1"/>
    <col min="5889" max="5889" width="29.875" style="343" customWidth="1"/>
    <col min="5890" max="5890" width="12.625" style="343" customWidth="1"/>
    <col min="5891" max="5891" width="0.625" style="343" customWidth="1"/>
    <col min="5892" max="5892" width="13.125" style="343" customWidth="1"/>
    <col min="5893" max="5893" width="0.875" style="343" customWidth="1"/>
    <col min="5894" max="5894" width="13.125" style="343" customWidth="1"/>
    <col min="5895" max="5895" width="0.875" style="343" customWidth="1"/>
    <col min="5896" max="5896" width="20.625" style="343" customWidth="1"/>
    <col min="5897" max="5897" width="9" style="343"/>
    <col min="5898" max="5898" width="27.875" style="343" bestFit="1" customWidth="1"/>
    <col min="5899" max="5899" width="9.375" style="343" bestFit="1" customWidth="1"/>
    <col min="5900" max="6143" width="9" style="343"/>
    <col min="6144" max="6144" width="0.875" style="343" customWidth="1"/>
    <col min="6145" max="6145" width="29.875" style="343" customWidth="1"/>
    <col min="6146" max="6146" width="12.625" style="343" customWidth="1"/>
    <col min="6147" max="6147" width="0.625" style="343" customWidth="1"/>
    <col min="6148" max="6148" width="13.125" style="343" customWidth="1"/>
    <col min="6149" max="6149" width="0.875" style="343" customWidth="1"/>
    <col min="6150" max="6150" width="13.125" style="343" customWidth="1"/>
    <col min="6151" max="6151" width="0.875" style="343" customWidth="1"/>
    <col min="6152" max="6152" width="20.625" style="343" customWidth="1"/>
    <col min="6153" max="6153" width="9" style="343"/>
    <col min="6154" max="6154" width="27.875" style="343" bestFit="1" customWidth="1"/>
    <col min="6155" max="6155" width="9.375" style="343" bestFit="1" customWidth="1"/>
    <col min="6156" max="6399" width="9" style="343"/>
    <col min="6400" max="6400" width="0.875" style="343" customWidth="1"/>
    <col min="6401" max="6401" width="29.875" style="343" customWidth="1"/>
    <col min="6402" max="6402" width="12.625" style="343" customWidth="1"/>
    <col min="6403" max="6403" width="0.625" style="343" customWidth="1"/>
    <col min="6404" max="6404" width="13.125" style="343" customWidth="1"/>
    <col min="6405" max="6405" width="0.875" style="343" customWidth="1"/>
    <col min="6406" max="6406" width="13.125" style="343" customWidth="1"/>
    <col min="6407" max="6407" width="0.875" style="343" customWidth="1"/>
    <col min="6408" max="6408" width="20.625" style="343" customWidth="1"/>
    <col min="6409" max="6409" width="9" style="343"/>
    <col min="6410" max="6410" width="27.875" style="343" bestFit="1" customWidth="1"/>
    <col min="6411" max="6411" width="9.375" style="343" bestFit="1" customWidth="1"/>
    <col min="6412" max="6655" width="9" style="343"/>
    <col min="6656" max="6656" width="0.875" style="343" customWidth="1"/>
    <col min="6657" max="6657" width="29.875" style="343" customWidth="1"/>
    <col min="6658" max="6658" width="12.625" style="343" customWidth="1"/>
    <col min="6659" max="6659" width="0.625" style="343" customWidth="1"/>
    <col min="6660" max="6660" width="13.125" style="343" customWidth="1"/>
    <col min="6661" max="6661" width="0.875" style="343" customWidth="1"/>
    <col min="6662" max="6662" width="13.125" style="343" customWidth="1"/>
    <col min="6663" max="6663" width="0.875" style="343" customWidth="1"/>
    <col min="6664" max="6664" width="20.625" style="343" customWidth="1"/>
    <col min="6665" max="6665" width="9" style="343"/>
    <col min="6666" max="6666" width="27.875" style="343" bestFit="1" customWidth="1"/>
    <col min="6667" max="6667" width="9.375" style="343" bestFit="1" customWidth="1"/>
    <col min="6668" max="6911" width="9" style="343"/>
    <col min="6912" max="6912" width="0.875" style="343" customWidth="1"/>
    <col min="6913" max="6913" width="29.875" style="343" customWidth="1"/>
    <col min="6914" max="6914" width="12.625" style="343" customWidth="1"/>
    <col min="6915" max="6915" width="0.625" style="343" customWidth="1"/>
    <col min="6916" max="6916" width="13.125" style="343" customWidth="1"/>
    <col min="6917" max="6917" width="0.875" style="343" customWidth="1"/>
    <col min="6918" max="6918" width="13.125" style="343" customWidth="1"/>
    <col min="6919" max="6919" width="0.875" style="343" customWidth="1"/>
    <col min="6920" max="6920" width="20.625" style="343" customWidth="1"/>
    <col min="6921" max="6921" width="9" style="343"/>
    <col min="6922" max="6922" width="27.875" style="343" bestFit="1" customWidth="1"/>
    <col min="6923" max="6923" width="9.375" style="343" bestFit="1" customWidth="1"/>
    <col min="6924" max="7167" width="9" style="343"/>
    <col min="7168" max="7168" width="0.875" style="343" customWidth="1"/>
    <col min="7169" max="7169" width="29.875" style="343" customWidth="1"/>
    <col min="7170" max="7170" width="12.625" style="343" customWidth="1"/>
    <col min="7171" max="7171" width="0.625" style="343" customWidth="1"/>
    <col min="7172" max="7172" width="13.125" style="343" customWidth="1"/>
    <col min="7173" max="7173" width="0.875" style="343" customWidth="1"/>
    <col min="7174" max="7174" width="13.125" style="343" customWidth="1"/>
    <col min="7175" max="7175" width="0.875" style="343" customWidth="1"/>
    <col min="7176" max="7176" width="20.625" style="343" customWidth="1"/>
    <col min="7177" max="7177" width="9" style="343"/>
    <col min="7178" max="7178" width="27.875" style="343" bestFit="1" customWidth="1"/>
    <col min="7179" max="7179" width="9.375" style="343" bestFit="1" customWidth="1"/>
    <col min="7180" max="7423" width="9" style="343"/>
    <col min="7424" max="7424" width="0.875" style="343" customWidth="1"/>
    <col min="7425" max="7425" width="29.875" style="343" customWidth="1"/>
    <col min="7426" max="7426" width="12.625" style="343" customWidth="1"/>
    <col min="7427" max="7427" width="0.625" style="343" customWidth="1"/>
    <col min="7428" max="7428" width="13.125" style="343" customWidth="1"/>
    <col min="7429" max="7429" width="0.875" style="343" customWidth="1"/>
    <col min="7430" max="7430" width="13.125" style="343" customWidth="1"/>
    <col min="7431" max="7431" width="0.875" style="343" customWidth="1"/>
    <col min="7432" max="7432" width="20.625" style="343" customWidth="1"/>
    <col min="7433" max="7433" width="9" style="343"/>
    <col min="7434" max="7434" width="27.875" style="343" bestFit="1" customWidth="1"/>
    <col min="7435" max="7435" width="9.375" style="343" bestFit="1" customWidth="1"/>
    <col min="7436" max="7679" width="9" style="343"/>
    <col min="7680" max="7680" width="0.875" style="343" customWidth="1"/>
    <col min="7681" max="7681" width="29.875" style="343" customWidth="1"/>
    <col min="7682" max="7682" width="12.625" style="343" customWidth="1"/>
    <col min="7683" max="7683" width="0.625" style="343" customWidth="1"/>
    <col min="7684" max="7684" width="13.125" style="343" customWidth="1"/>
    <col min="7685" max="7685" width="0.875" style="343" customWidth="1"/>
    <col min="7686" max="7686" width="13.125" style="343" customWidth="1"/>
    <col min="7687" max="7687" width="0.875" style="343" customWidth="1"/>
    <col min="7688" max="7688" width="20.625" style="343" customWidth="1"/>
    <col min="7689" max="7689" width="9" style="343"/>
    <col min="7690" max="7690" width="27.875" style="343" bestFit="1" customWidth="1"/>
    <col min="7691" max="7691" width="9.375" style="343" bestFit="1" customWidth="1"/>
    <col min="7692" max="7935" width="9" style="343"/>
    <col min="7936" max="7936" width="0.875" style="343" customWidth="1"/>
    <col min="7937" max="7937" width="29.875" style="343" customWidth="1"/>
    <col min="7938" max="7938" width="12.625" style="343" customWidth="1"/>
    <col min="7939" max="7939" width="0.625" style="343" customWidth="1"/>
    <col min="7940" max="7940" width="13.125" style="343" customWidth="1"/>
    <col min="7941" max="7941" width="0.875" style="343" customWidth="1"/>
    <col min="7942" max="7942" width="13.125" style="343" customWidth="1"/>
    <col min="7943" max="7943" width="0.875" style="343" customWidth="1"/>
    <col min="7944" max="7944" width="20.625" style="343" customWidth="1"/>
    <col min="7945" max="7945" width="9" style="343"/>
    <col min="7946" max="7946" width="27.875" style="343" bestFit="1" customWidth="1"/>
    <col min="7947" max="7947" width="9.375" style="343" bestFit="1" customWidth="1"/>
    <col min="7948" max="8191" width="9" style="343"/>
    <col min="8192" max="8192" width="0.875" style="343" customWidth="1"/>
    <col min="8193" max="8193" width="29.875" style="343" customWidth="1"/>
    <col min="8194" max="8194" width="12.625" style="343" customWidth="1"/>
    <col min="8195" max="8195" width="0.625" style="343" customWidth="1"/>
    <col min="8196" max="8196" width="13.125" style="343" customWidth="1"/>
    <col min="8197" max="8197" width="0.875" style="343" customWidth="1"/>
    <col min="8198" max="8198" width="13.125" style="343" customWidth="1"/>
    <col min="8199" max="8199" width="0.875" style="343" customWidth="1"/>
    <col min="8200" max="8200" width="20.625" style="343" customWidth="1"/>
    <col min="8201" max="8201" width="9" style="343"/>
    <col min="8202" max="8202" width="27.875" style="343" bestFit="1" customWidth="1"/>
    <col min="8203" max="8203" width="9.375" style="343" bestFit="1" customWidth="1"/>
    <col min="8204" max="8447" width="9" style="343"/>
    <col min="8448" max="8448" width="0.875" style="343" customWidth="1"/>
    <col min="8449" max="8449" width="29.875" style="343" customWidth="1"/>
    <col min="8450" max="8450" width="12.625" style="343" customWidth="1"/>
    <col min="8451" max="8451" width="0.625" style="343" customWidth="1"/>
    <col min="8452" max="8452" width="13.125" style="343" customWidth="1"/>
    <col min="8453" max="8453" width="0.875" style="343" customWidth="1"/>
    <col min="8454" max="8454" width="13.125" style="343" customWidth="1"/>
    <col min="8455" max="8455" width="0.875" style="343" customWidth="1"/>
    <col min="8456" max="8456" width="20.625" style="343" customWidth="1"/>
    <col min="8457" max="8457" width="9" style="343"/>
    <col min="8458" max="8458" width="27.875" style="343" bestFit="1" customWidth="1"/>
    <col min="8459" max="8459" width="9.375" style="343" bestFit="1" customWidth="1"/>
    <col min="8460" max="8703" width="9" style="343"/>
    <col min="8704" max="8704" width="0.875" style="343" customWidth="1"/>
    <col min="8705" max="8705" width="29.875" style="343" customWidth="1"/>
    <col min="8706" max="8706" width="12.625" style="343" customWidth="1"/>
    <col min="8707" max="8707" width="0.625" style="343" customWidth="1"/>
    <col min="8708" max="8708" width="13.125" style="343" customWidth="1"/>
    <col min="8709" max="8709" width="0.875" style="343" customWidth="1"/>
    <col min="8710" max="8710" width="13.125" style="343" customWidth="1"/>
    <col min="8711" max="8711" width="0.875" style="343" customWidth="1"/>
    <col min="8712" max="8712" width="20.625" style="343" customWidth="1"/>
    <col min="8713" max="8713" width="9" style="343"/>
    <col min="8714" max="8714" width="27.875" style="343" bestFit="1" customWidth="1"/>
    <col min="8715" max="8715" width="9.375" style="343" bestFit="1" customWidth="1"/>
    <col min="8716" max="8959" width="9" style="343"/>
    <col min="8960" max="8960" width="0.875" style="343" customWidth="1"/>
    <col min="8961" max="8961" width="29.875" style="343" customWidth="1"/>
    <col min="8962" max="8962" width="12.625" style="343" customWidth="1"/>
    <col min="8963" max="8963" width="0.625" style="343" customWidth="1"/>
    <col min="8964" max="8964" width="13.125" style="343" customWidth="1"/>
    <col min="8965" max="8965" width="0.875" style="343" customWidth="1"/>
    <col min="8966" max="8966" width="13.125" style="343" customWidth="1"/>
    <col min="8967" max="8967" width="0.875" style="343" customWidth="1"/>
    <col min="8968" max="8968" width="20.625" style="343" customWidth="1"/>
    <col min="8969" max="8969" width="9" style="343"/>
    <col min="8970" max="8970" width="27.875" style="343" bestFit="1" customWidth="1"/>
    <col min="8971" max="8971" width="9.375" style="343" bestFit="1" customWidth="1"/>
    <col min="8972" max="9215" width="9" style="343"/>
    <col min="9216" max="9216" width="0.875" style="343" customWidth="1"/>
    <col min="9217" max="9217" width="29.875" style="343" customWidth="1"/>
    <col min="9218" max="9218" width="12.625" style="343" customWidth="1"/>
    <col min="9219" max="9219" width="0.625" style="343" customWidth="1"/>
    <col min="9220" max="9220" width="13.125" style="343" customWidth="1"/>
    <col min="9221" max="9221" width="0.875" style="343" customWidth="1"/>
    <col min="9222" max="9222" width="13.125" style="343" customWidth="1"/>
    <col min="9223" max="9223" width="0.875" style="343" customWidth="1"/>
    <col min="9224" max="9224" width="20.625" style="343" customWidth="1"/>
    <col min="9225" max="9225" width="9" style="343"/>
    <col min="9226" max="9226" width="27.875" style="343" bestFit="1" customWidth="1"/>
    <col min="9227" max="9227" width="9.375" style="343" bestFit="1" customWidth="1"/>
    <col min="9228" max="9471" width="9" style="343"/>
    <col min="9472" max="9472" width="0.875" style="343" customWidth="1"/>
    <col min="9473" max="9473" width="29.875" style="343" customWidth="1"/>
    <col min="9474" max="9474" width="12.625" style="343" customWidth="1"/>
    <col min="9475" max="9475" width="0.625" style="343" customWidth="1"/>
    <col min="9476" max="9476" width="13.125" style="343" customWidth="1"/>
    <col min="9477" max="9477" width="0.875" style="343" customWidth="1"/>
    <col min="9478" max="9478" width="13.125" style="343" customWidth="1"/>
    <col min="9479" max="9479" width="0.875" style="343" customWidth="1"/>
    <col min="9480" max="9480" width="20.625" style="343" customWidth="1"/>
    <col min="9481" max="9481" width="9" style="343"/>
    <col min="9482" max="9482" width="27.875" style="343" bestFit="1" customWidth="1"/>
    <col min="9483" max="9483" width="9.375" style="343" bestFit="1" customWidth="1"/>
    <col min="9484" max="9727" width="9" style="343"/>
    <col min="9728" max="9728" width="0.875" style="343" customWidth="1"/>
    <col min="9729" max="9729" width="29.875" style="343" customWidth="1"/>
    <col min="9730" max="9730" width="12.625" style="343" customWidth="1"/>
    <col min="9731" max="9731" width="0.625" style="343" customWidth="1"/>
    <col min="9732" max="9732" width="13.125" style="343" customWidth="1"/>
    <col min="9733" max="9733" width="0.875" style="343" customWidth="1"/>
    <col min="9734" max="9734" width="13.125" style="343" customWidth="1"/>
    <col min="9735" max="9735" width="0.875" style="343" customWidth="1"/>
    <col min="9736" max="9736" width="20.625" style="343" customWidth="1"/>
    <col min="9737" max="9737" width="9" style="343"/>
    <col min="9738" max="9738" width="27.875" style="343" bestFit="1" customWidth="1"/>
    <col min="9739" max="9739" width="9.375" style="343" bestFit="1" customWidth="1"/>
    <col min="9740" max="9983" width="9" style="343"/>
    <col min="9984" max="9984" width="0.875" style="343" customWidth="1"/>
    <col min="9985" max="9985" width="29.875" style="343" customWidth="1"/>
    <col min="9986" max="9986" width="12.625" style="343" customWidth="1"/>
    <col min="9987" max="9987" width="0.625" style="343" customWidth="1"/>
    <col min="9988" max="9988" width="13.125" style="343" customWidth="1"/>
    <col min="9989" max="9989" width="0.875" style="343" customWidth="1"/>
    <col min="9990" max="9990" width="13.125" style="343" customWidth="1"/>
    <col min="9991" max="9991" width="0.875" style="343" customWidth="1"/>
    <col min="9992" max="9992" width="20.625" style="343" customWidth="1"/>
    <col min="9993" max="9993" width="9" style="343"/>
    <col min="9994" max="9994" width="27.875" style="343" bestFit="1" customWidth="1"/>
    <col min="9995" max="9995" width="9.375" style="343" bestFit="1" customWidth="1"/>
    <col min="9996" max="10239" width="9" style="343"/>
    <col min="10240" max="10240" width="0.875" style="343" customWidth="1"/>
    <col min="10241" max="10241" width="29.875" style="343" customWidth="1"/>
    <col min="10242" max="10242" width="12.625" style="343" customWidth="1"/>
    <col min="10243" max="10243" width="0.625" style="343" customWidth="1"/>
    <col min="10244" max="10244" width="13.125" style="343" customWidth="1"/>
    <col min="10245" max="10245" width="0.875" style="343" customWidth="1"/>
    <col min="10246" max="10246" width="13.125" style="343" customWidth="1"/>
    <col min="10247" max="10247" width="0.875" style="343" customWidth="1"/>
    <col min="10248" max="10248" width="20.625" style="343" customWidth="1"/>
    <col min="10249" max="10249" width="9" style="343"/>
    <col min="10250" max="10250" width="27.875" style="343" bestFit="1" customWidth="1"/>
    <col min="10251" max="10251" width="9.375" style="343" bestFit="1" customWidth="1"/>
    <col min="10252" max="10495" width="9" style="343"/>
    <col min="10496" max="10496" width="0.875" style="343" customWidth="1"/>
    <col min="10497" max="10497" width="29.875" style="343" customWidth="1"/>
    <col min="10498" max="10498" width="12.625" style="343" customWidth="1"/>
    <col min="10499" max="10499" width="0.625" style="343" customWidth="1"/>
    <col min="10500" max="10500" width="13.125" style="343" customWidth="1"/>
    <col min="10501" max="10501" width="0.875" style="343" customWidth="1"/>
    <col min="10502" max="10502" width="13.125" style="343" customWidth="1"/>
    <col min="10503" max="10503" width="0.875" style="343" customWidth="1"/>
    <col min="10504" max="10504" width="20.625" style="343" customWidth="1"/>
    <col min="10505" max="10505" width="9" style="343"/>
    <col min="10506" max="10506" width="27.875" style="343" bestFit="1" customWidth="1"/>
    <col min="10507" max="10507" width="9.375" style="343" bestFit="1" customWidth="1"/>
    <col min="10508" max="10751" width="9" style="343"/>
    <col min="10752" max="10752" width="0.875" style="343" customWidth="1"/>
    <col min="10753" max="10753" width="29.875" style="343" customWidth="1"/>
    <col min="10754" max="10754" width="12.625" style="343" customWidth="1"/>
    <col min="10755" max="10755" width="0.625" style="343" customWidth="1"/>
    <col min="10756" max="10756" width="13.125" style="343" customWidth="1"/>
    <col min="10757" max="10757" width="0.875" style="343" customWidth="1"/>
    <col min="10758" max="10758" width="13.125" style="343" customWidth="1"/>
    <col min="10759" max="10759" width="0.875" style="343" customWidth="1"/>
    <col min="10760" max="10760" width="20.625" style="343" customWidth="1"/>
    <col min="10761" max="10761" width="9" style="343"/>
    <col min="10762" max="10762" width="27.875" style="343" bestFit="1" customWidth="1"/>
    <col min="10763" max="10763" width="9.375" style="343" bestFit="1" customWidth="1"/>
    <col min="10764" max="11007" width="9" style="343"/>
    <col min="11008" max="11008" width="0.875" style="343" customWidth="1"/>
    <col min="11009" max="11009" width="29.875" style="343" customWidth="1"/>
    <col min="11010" max="11010" width="12.625" style="343" customWidth="1"/>
    <col min="11011" max="11011" width="0.625" style="343" customWidth="1"/>
    <col min="11012" max="11012" width="13.125" style="343" customWidth="1"/>
    <col min="11013" max="11013" width="0.875" style="343" customWidth="1"/>
    <col min="11014" max="11014" width="13.125" style="343" customWidth="1"/>
    <col min="11015" max="11015" width="0.875" style="343" customWidth="1"/>
    <col min="11016" max="11016" width="20.625" style="343" customWidth="1"/>
    <col min="11017" max="11017" width="9" style="343"/>
    <col min="11018" max="11018" width="27.875" style="343" bestFit="1" customWidth="1"/>
    <col min="11019" max="11019" width="9.375" style="343" bestFit="1" customWidth="1"/>
    <col min="11020" max="11263" width="9" style="343"/>
    <col min="11264" max="11264" width="0.875" style="343" customWidth="1"/>
    <col min="11265" max="11265" width="29.875" style="343" customWidth="1"/>
    <col min="11266" max="11266" width="12.625" style="343" customWidth="1"/>
    <col min="11267" max="11267" width="0.625" style="343" customWidth="1"/>
    <col min="11268" max="11268" width="13.125" style="343" customWidth="1"/>
    <col min="11269" max="11269" width="0.875" style="343" customWidth="1"/>
    <col min="11270" max="11270" width="13.125" style="343" customWidth="1"/>
    <col min="11271" max="11271" width="0.875" style="343" customWidth="1"/>
    <col min="11272" max="11272" width="20.625" style="343" customWidth="1"/>
    <col min="11273" max="11273" width="9" style="343"/>
    <col min="11274" max="11274" width="27.875" style="343" bestFit="1" customWidth="1"/>
    <col min="11275" max="11275" width="9.375" style="343" bestFit="1" customWidth="1"/>
    <col min="11276" max="11519" width="9" style="343"/>
    <col min="11520" max="11520" width="0.875" style="343" customWidth="1"/>
    <col min="11521" max="11521" width="29.875" style="343" customWidth="1"/>
    <col min="11522" max="11522" width="12.625" style="343" customWidth="1"/>
    <col min="11523" max="11523" width="0.625" style="343" customWidth="1"/>
    <col min="11524" max="11524" width="13.125" style="343" customWidth="1"/>
    <col min="11525" max="11525" width="0.875" style="343" customWidth="1"/>
    <col min="11526" max="11526" width="13.125" style="343" customWidth="1"/>
    <col min="11527" max="11527" width="0.875" style="343" customWidth="1"/>
    <col min="11528" max="11528" width="20.625" style="343" customWidth="1"/>
    <col min="11529" max="11529" width="9" style="343"/>
    <col min="11530" max="11530" width="27.875" style="343" bestFit="1" customWidth="1"/>
    <col min="11531" max="11531" width="9.375" style="343" bestFit="1" customWidth="1"/>
    <col min="11532" max="11775" width="9" style="343"/>
    <col min="11776" max="11776" width="0.875" style="343" customWidth="1"/>
    <col min="11777" max="11777" width="29.875" style="343" customWidth="1"/>
    <col min="11778" max="11778" width="12.625" style="343" customWidth="1"/>
    <col min="11779" max="11779" width="0.625" style="343" customWidth="1"/>
    <col min="11780" max="11780" width="13.125" style="343" customWidth="1"/>
    <col min="11781" max="11781" width="0.875" style="343" customWidth="1"/>
    <col min="11782" max="11782" width="13.125" style="343" customWidth="1"/>
    <col min="11783" max="11783" width="0.875" style="343" customWidth="1"/>
    <col min="11784" max="11784" width="20.625" style="343" customWidth="1"/>
    <col min="11785" max="11785" width="9" style="343"/>
    <col min="11786" max="11786" width="27.875" style="343" bestFit="1" customWidth="1"/>
    <col min="11787" max="11787" width="9.375" style="343" bestFit="1" customWidth="1"/>
    <col min="11788" max="12031" width="9" style="343"/>
    <col min="12032" max="12032" width="0.875" style="343" customWidth="1"/>
    <col min="12033" max="12033" width="29.875" style="343" customWidth="1"/>
    <col min="12034" max="12034" width="12.625" style="343" customWidth="1"/>
    <col min="12035" max="12035" width="0.625" style="343" customWidth="1"/>
    <col min="12036" max="12036" width="13.125" style="343" customWidth="1"/>
    <col min="12037" max="12037" width="0.875" style="343" customWidth="1"/>
    <col min="12038" max="12038" width="13.125" style="343" customWidth="1"/>
    <col min="12039" max="12039" width="0.875" style="343" customWidth="1"/>
    <col min="12040" max="12040" width="20.625" style="343" customWidth="1"/>
    <col min="12041" max="12041" width="9" style="343"/>
    <col min="12042" max="12042" width="27.875" style="343" bestFit="1" customWidth="1"/>
    <col min="12043" max="12043" width="9.375" style="343" bestFit="1" customWidth="1"/>
    <col min="12044" max="12287" width="9" style="343"/>
    <col min="12288" max="12288" width="0.875" style="343" customWidth="1"/>
    <col min="12289" max="12289" width="29.875" style="343" customWidth="1"/>
    <col min="12290" max="12290" width="12.625" style="343" customWidth="1"/>
    <col min="12291" max="12291" width="0.625" style="343" customWidth="1"/>
    <col min="12292" max="12292" width="13.125" style="343" customWidth="1"/>
    <col min="12293" max="12293" width="0.875" style="343" customWidth="1"/>
    <col min="12294" max="12294" width="13.125" style="343" customWidth="1"/>
    <col min="12295" max="12295" width="0.875" style="343" customWidth="1"/>
    <col min="12296" max="12296" width="20.625" style="343" customWidth="1"/>
    <col min="12297" max="12297" width="9" style="343"/>
    <col min="12298" max="12298" width="27.875" style="343" bestFit="1" customWidth="1"/>
    <col min="12299" max="12299" width="9.375" style="343" bestFit="1" customWidth="1"/>
    <col min="12300" max="12543" width="9" style="343"/>
    <col min="12544" max="12544" width="0.875" style="343" customWidth="1"/>
    <col min="12545" max="12545" width="29.875" style="343" customWidth="1"/>
    <col min="12546" max="12546" width="12.625" style="343" customWidth="1"/>
    <col min="12547" max="12547" width="0.625" style="343" customWidth="1"/>
    <col min="12548" max="12548" width="13.125" style="343" customWidth="1"/>
    <col min="12549" max="12549" width="0.875" style="343" customWidth="1"/>
    <col min="12550" max="12550" width="13.125" style="343" customWidth="1"/>
    <col min="12551" max="12551" width="0.875" style="343" customWidth="1"/>
    <col min="12552" max="12552" width="20.625" style="343" customWidth="1"/>
    <col min="12553" max="12553" width="9" style="343"/>
    <col min="12554" max="12554" width="27.875" style="343" bestFit="1" customWidth="1"/>
    <col min="12555" max="12555" width="9.375" style="343" bestFit="1" customWidth="1"/>
    <col min="12556" max="12799" width="9" style="343"/>
    <col min="12800" max="12800" width="0.875" style="343" customWidth="1"/>
    <col min="12801" max="12801" width="29.875" style="343" customWidth="1"/>
    <col min="12802" max="12802" width="12.625" style="343" customWidth="1"/>
    <col min="12803" max="12803" width="0.625" style="343" customWidth="1"/>
    <col min="12804" max="12804" width="13.125" style="343" customWidth="1"/>
    <col min="12805" max="12805" width="0.875" style="343" customWidth="1"/>
    <col min="12806" max="12806" width="13.125" style="343" customWidth="1"/>
    <col min="12807" max="12807" width="0.875" style="343" customWidth="1"/>
    <col min="12808" max="12808" width="20.625" style="343" customWidth="1"/>
    <col min="12809" max="12809" width="9" style="343"/>
    <col min="12810" max="12810" width="27.875" style="343" bestFit="1" customWidth="1"/>
    <col min="12811" max="12811" width="9.375" style="343" bestFit="1" customWidth="1"/>
    <col min="12812" max="13055" width="9" style="343"/>
    <col min="13056" max="13056" width="0.875" style="343" customWidth="1"/>
    <col min="13057" max="13057" width="29.875" style="343" customWidth="1"/>
    <col min="13058" max="13058" width="12.625" style="343" customWidth="1"/>
    <col min="13059" max="13059" width="0.625" style="343" customWidth="1"/>
    <col min="13060" max="13060" width="13.125" style="343" customWidth="1"/>
    <col min="13061" max="13061" width="0.875" style="343" customWidth="1"/>
    <col min="13062" max="13062" width="13.125" style="343" customWidth="1"/>
    <col min="13063" max="13063" width="0.875" style="343" customWidth="1"/>
    <col min="13064" max="13064" width="20.625" style="343" customWidth="1"/>
    <col min="13065" max="13065" width="9" style="343"/>
    <col min="13066" max="13066" width="27.875" style="343" bestFit="1" customWidth="1"/>
    <col min="13067" max="13067" width="9.375" style="343" bestFit="1" customWidth="1"/>
    <col min="13068" max="13311" width="9" style="343"/>
    <col min="13312" max="13312" width="0.875" style="343" customWidth="1"/>
    <col min="13313" max="13313" width="29.875" style="343" customWidth="1"/>
    <col min="13314" max="13314" width="12.625" style="343" customWidth="1"/>
    <col min="13315" max="13315" width="0.625" style="343" customWidth="1"/>
    <col min="13316" max="13316" width="13.125" style="343" customWidth="1"/>
    <col min="13317" max="13317" width="0.875" style="343" customWidth="1"/>
    <col min="13318" max="13318" width="13.125" style="343" customWidth="1"/>
    <col min="13319" max="13319" width="0.875" style="343" customWidth="1"/>
    <col min="13320" max="13320" width="20.625" style="343" customWidth="1"/>
    <col min="13321" max="13321" width="9" style="343"/>
    <col min="13322" max="13322" width="27.875" style="343" bestFit="1" customWidth="1"/>
    <col min="13323" max="13323" width="9.375" style="343" bestFit="1" customWidth="1"/>
    <col min="13324" max="13567" width="9" style="343"/>
    <col min="13568" max="13568" width="0.875" style="343" customWidth="1"/>
    <col min="13569" max="13569" width="29.875" style="343" customWidth="1"/>
    <col min="13570" max="13570" width="12.625" style="343" customWidth="1"/>
    <col min="13571" max="13571" width="0.625" style="343" customWidth="1"/>
    <col min="13572" max="13572" width="13.125" style="343" customWidth="1"/>
    <col min="13573" max="13573" width="0.875" style="343" customWidth="1"/>
    <col min="13574" max="13574" width="13.125" style="343" customWidth="1"/>
    <col min="13575" max="13575" width="0.875" style="343" customWidth="1"/>
    <col min="13576" max="13576" width="20.625" style="343" customWidth="1"/>
    <col min="13577" max="13577" width="9" style="343"/>
    <col min="13578" max="13578" width="27.875" style="343" bestFit="1" customWidth="1"/>
    <col min="13579" max="13579" width="9.375" style="343" bestFit="1" customWidth="1"/>
    <col min="13580" max="13823" width="9" style="343"/>
    <col min="13824" max="13824" width="0.875" style="343" customWidth="1"/>
    <col min="13825" max="13825" width="29.875" style="343" customWidth="1"/>
    <col min="13826" max="13826" width="12.625" style="343" customWidth="1"/>
    <col min="13827" max="13827" width="0.625" style="343" customWidth="1"/>
    <col min="13828" max="13828" width="13.125" style="343" customWidth="1"/>
    <col min="13829" max="13829" width="0.875" style="343" customWidth="1"/>
    <col min="13830" max="13830" width="13.125" style="343" customWidth="1"/>
    <col min="13831" max="13831" width="0.875" style="343" customWidth="1"/>
    <col min="13832" max="13832" width="20.625" style="343" customWidth="1"/>
    <col min="13833" max="13833" width="9" style="343"/>
    <col min="13834" max="13834" width="27.875" style="343" bestFit="1" customWidth="1"/>
    <col min="13835" max="13835" width="9.375" style="343" bestFit="1" customWidth="1"/>
    <col min="13836" max="14079" width="9" style="343"/>
    <col min="14080" max="14080" width="0.875" style="343" customWidth="1"/>
    <col min="14081" max="14081" width="29.875" style="343" customWidth="1"/>
    <col min="14082" max="14082" width="12.625" style="343" customWidth="1"/>
    <col min="14083" max="14083" width="0.625" style="343" customWidth="1"/>
    <col min="14084" max="14084" width="13.125" style="343" customWidth="1"/>
    <col min="14085" max="14085" width="0.875" style="343" customWidth="1"/>
    <col min="14086" max="14086" width="13.125" style="343" customWidth="1"/>
    <col min="14087" max="14087" width="0.875" style="343" customWidth="1"/>
    <col min="14088" max="14088" width="20.625" style="343" customWidth="1"/>
    <col min="14089" max="14089" width="9" style="343"/>
    <col min="14090" max="14090" width="27.875" style="343" bestFit="1" customWidth="1"/>
    <col min="14091" max="14091" width="9.375" style="343" bestFit="1" customWidth="1"/>
    <col min="14092" max="14335" width="9" style="343"/>
    <col min="14336" max="14336" width="0.875" style="343" customWidth="1"/>
    <col min="14337" max="14337" width="29.875" style="343" customWidth="1"/>
    <col min="14338" max="14338" width="12.625" style="343" customWidth="1"/>
    <col min="14339" max="14339" width="0.625" style="343" customWidth="1"/>
    <col min="14340" max="14340" width="13.125" style="343" customWidth="1"/>
    <col min="14341" max="14341" width="0.875" style="343" customWidth="1"/>
    <col min="14342" max="14342" width="13.125" style="343" customWidth="1"/>
    <col min="14343" max="14343" width="0.875" style="343" customWidth="1"/>
    <col min="14344" max="14344" width="20.625" style="343" customWidth="1"/>
    <col min="14345" max="14345" width="9" style="343"/>
    <col min="14346" max="14346" width="27.875" style="343" bestFit="1" customWidth="1"/>
    <col min="14347" max="14347" width="9.375" style="343" bestFit="1" customWidth="1"/>
    <col min="14348" max="14591" width="9" style="343"/>
    <col min="14592" max="14592" width="0.875" style="343" customWidth="1"/>
    <col min="14593" max="14593" width="29.875" style="343" customWidth="1"/>
    <col min="14594" max="14594" width="12.625" style="343" customWidth="1"/>
    <col min="14595" max="14595" width="0.625" style="343" customWidth="1"/>
    <col min="14596" max="14596" width="13.125" style="343" customWidth="1"/>
    <col min="14597" max="14597" width="0.875" style="343" customWidth="1"/>
    <col min="14598" max="14598" width="13.125" style="343" customWidth="1"/>
    <col min="14599" max="14599" width="0.875" style="343" customWidth="1"/>
    <col min="14600" max="14600" width="20.625" style="343" customWidth="1"/>
    <col min="14601" max="14601" width="9" style="343"/>
    <col min="14602" max="14602" width="27.875" style="343" bestFit="1" customWidth="1"/>
    <col min="14603" max="14603" width="9.375" style="343" bestFit="1" customWidth="1"/>
    <col min="14604" max="14847" width="9" style="343"/>
    <col min="14848" max="14848" width="0.875" style="343" customWidth="1"/>
    <col min="14849" max="14849" width="29.875" style="343" customWidth="1"/>
    <col min="14850" max="14850" width="12.625" style="343" customWidth="1"/>
    <col min="14851" max="14851" width="0.625" style="343" customWidth="1"/>
    <col min="14852" max="14852" width="13.125" style="343" customWidth="1"/>
    <col min="14853" max="14853" width="0.875" style="343" customWidth="1"/>
    <col min="14854" max="14854" width="13.125" style="343" customWidth="1"/>
    <col min="14855" max="14855" width="0.875" style="343" customWidth="1"/>
    <col min="14856" max="14856" width="20.625" style="343" customWidth="1"/>
    <col min="14857" max="14857" width="9" style="343"/>
    <col min="14858" max="14858" width="27.875" style="343" bestFit="1" customWidth="1"/>
    <col min="14859" max="14859" width="9.375" style="343" bestFit="1" customWidth="1"/>
    <col min="14860" max="15103" width="9" style="343"/>
    <col min="15104" max="15104" width="0.875" style="343" customWidth="1"/>
    <col min="15105" max="15105" width="29.875" style="343" customWidth="1"/>
    <col min="15106" max="15106" width="12.625" style="343" customWidth="1"/>
    <col min="15107" max="15107" width="0.625" style="343" customWidth="1"/>
    <col min="15108" max="15108" width="13.125" style="343" customWidth="1"/>
    <col min="15109" max="15109" width="0.875" style="343" customWidth="1"/>
    <col min="15110" max="15110" width="13.125" style="343" customWidth="1"/>
    <col min="15111" max="15111" width="0.875" style="343" customWidth="1"/>
    <col min="15112" max="15112" width="20.625" style="343" customWidth="1"/>
    <col min="15113" max="15113" width="9" style="343"/>
    <col min="15114" max="15114" width="27.875" style="343" bestFit="1" customWidth="1"/>
    <col min="15115" max="15115" width="9.375" style="343" bestFit="1" customWidth="1"/>
    <col min="15116" max="15359" width="9" style="343"/>
    <col min="15360" max="15360" width="0.875" style="343" customWidth="1"/>
    <col min="15361" max="15361" width="29.875" style="343" customWidth="1"/>
    <col min="15362" max="15362" width="12.625" style="343" customWidth="1"/>
    <col min="15363" max="15363" width="0.625" style="343" customWidth="1"/>
    <col min="15364" max="15364" width="13.125" style="343" customWidth="1"/>
    <col min="15365" max="15365" width="0.875" style="343" customWidth="1"/>
    <col min="15366" max="15366" width="13.125" style="343" customWidth="1"/>
    <col min="15367" max="15367" width="0.875" style="343" customWidth="1"/>
    <col min="15368" max="15368" width="20.625" style="343" customWidth="1"/>
    <col min="15369" max="15369" width="9" style="343"/>
    <col min="15370" max="15370" width="27.875" style="343" bestFit="1" customWidth="1"/>
    <col min="15371" max="15371" width="9.375" style="343" bestFit="1" customWidth="1"/>
    <col min="15372" max="15615" width="9" style="343"/>
    <col min="15616" max="15616" width="0.875" style="343" customWidth="1"/>
    <col min="15617" max="15617" width="29.875" style="343" customWidth="1"/>
    <col min="15618" max="15618" width="12.625" style="343" customWidth="1"/>
    <col min="15619" max="15619" width="0.625" style="343" customWidth="1"/>
    <col min="15620" max="15620" width="13.125" style="343" customWidth="1"/>
    <col min="15621" max="15621" width="0.875" style="343" customWidth="1"/>
    <col min="15622" max="15622" width="13.125" style="343" customWidth="1"/>
    <col min="15623" max="15623" width="0.875" style="343" customWidth="1"/>
    <col min="15624" max="15624" width="20.625" style="343" customWidth="1"/>
    <col min="15625" max="15625" width="9" style="343"/>
    <col min="15626" max="15626" width="27.875" style="343" bestFit="1" customWidth="1"/>
    <col min="15627" max="15627" width="9.375" style="343" bestFit="1" customWidth="1"/>
    <col min="15628" max="15871" width="9" style="343"/>
    <col min="15872" max="15872" width="0.875" style="343" customWidth="1"/>
    <col min="15873" max="15873" width="29.875" style="343" customWidth="1"/>
    <col min="15874" max="15874" width="12.625" style="343" customWidth="1"/>
    <col min="15875" max="15875" width="0.625" style="343" customWidth="1"/>
    <col min="15876" max="15876" width="13.125" style="343" customWidth="1"/>
    <col min="15877" max="15877" width="0.875" style="343" customWidth="1"/>
    <col min="15878" max="15878" width="13.125" style="343" customWidth="1"/>
    <col min="15879" max="15879" width="0.875" style="343" customWidth="1"/>
    <col min="15880" max="15880" width="20.625" style="343" customWidth="1"/>
    <col min="15881" max="15881" width="9" style="343"/>
    <col min="15882" max="15882" width="27.875" style="343" bestFit="1" customWidth="1"/>
    <col min="15883" max="15883" width="9.375" style="343" bestFit="1" customWidth="1"/>
    <col min="15884" max="16127" width="9" style="343"/>
    <col min="16128" max="16128" width="0.875" style="343" customWidth="1"/>
    <col min="16129" max="16129" width="29.875" style="343" customWidth="1"/>
    <col min="16130" max="16130" width="12.625" style="343" customWidth="1"/>
    <col min="16131" max="16131" width="0.625" style="343" customWidth="1"/>
    <col min="16132" max="16132" width="13.125" style="343" customWidth="1"/>
    <col min="16133" max="16133" width="0.875" style="343" customWidth="1"/>
    <col min="16134" max="16134" width="13.125" style="343" customWidth="1"/>
    <col min="16135" max="16135" width="0.875" style="343" customWidth="1"/>
    <col min="16136" max="16136" width="20.625" style="343" customWidth="1"/>
    <col min="16137" max="16137" width="9" style="343"/>
    <col min="16138" max="16138" width="27.875" style="343" bestFit="1" customWidth="1"/>
    <col min="16139" max="16139" width="9.375" style="343" bestFit="1" customWidth="1"/>
    <col min="16140" max="16384" width="9" style="343"/>
  </cols>
  <sheetData>
    <row r="1" spans="1:17" ht="33" customHeight="1">
      <c r="A1" s="755" t="s">
        <v>172</v>
      </c>
      <c r="B1" s="755"/>
      <c r="C1" s="755"/>
      <c r="D1" s="755"/>
      <c r="E1" s="755"/>
      <c r="F1" s="755"/>
      <c r="G1" s="755"/>
      <c r="H1" s="755"/>
      <c r="I1" s="755"/>
      <c r="N1" s="344"/>
      <c r="O1" s="344"/>
    </row>
    <row r="2" spans="1:17" ht="22.5" customHeight="1">
      <c r="A2" s="363"/>
      <c r="B2" s="756"/>
      <c r="C2" s="756"/>
      <c r="D2" s="756"/>
      <c r="E2" s="756"/>
      <c r="F2" s="756"/>
      <c r="G2" s="756"/>
      <c r="H2" s="756"/>
      <c r="I2" s="756"/>
      <c r="J2" s="345"/>
      <c r="K2" s="345"/>
      <c r="L2" s="345"/>
      <c r="M2" s="345"/>
      <c r="N2" s="346"/>
      <c r="O2" s="347"/>
      <c r="P2" s="345"/>
      <c r="Q2" s="345"/>
    </row>
    <row r="3" spans="1:17" s="350" customFormat="1" ht="24.75" customHeight="1">
      <c r="A3" s="552"/>
      <c r="B3" s="553" t="s">
        <v>240</v>
      </c>
      <c r="C3" s="572" t="s">
        <v>241</v>
      </c>
      <c r="D3" s="573"/>
      <c r="E3" s="553" t="s">
        <v>97</v>
      </c>
      <c r="F3" s="552"/>
      <c r="G3" s="565" t="s">
        <v>98</v>
      </c>
      <c r="H3" s="563"/>
      <c r="I3" s="554" t="s">
        <v>99</v>
      </c>
      <c r="K3" s="348" t="s">
        <v>95</v>
      </c>
      <c r="L3" s="349" t="s">
        <v>96</v>
      </c>
      <c r="N3" s="351"/>
      <c r="O3" s="757" t="s">
        <v>201</v>
      </c>
      <c r="P3" s="758"/>
      <c r="Q3" s="758"/>
    </row>
    <row r="4" spans="1:17" s="352" customFormat="1" ht="13.5" customHeight="1">
      <c r="A4" s="364"/>
      <c r="B4" s="367"/>
      <c r="C4" s="574" t="s">
        <v>242</v>
      </c>
      <c r="D4" s="562"/>
      <c r="E4" s="367"/>
      <c r="F4" s="364"/>
      <c r="G4" s="562"/>
      <c r="H4" s="367"/>
      <c r="I4" s="562"/>
      <c r="K4" s="365"/>
      <c r="L4" s="366" t="s">
        <v>93</v>
      </c>
    </row>
    <row r="5" spans="1:17" ht="30" customHeight="1">
      <c r="A5" s="368"/>
      <c r="B5" s="575" t="s">
        <v>235</v>
      </c>
      <c r="C5" s="578">
        <v>130700</v>
      </c>
      <c r="D5" s="579"/>
      <c r="E5" s="759" t="s">
        <v>100</v>
      </c>
      <c r="F5" s="368"/>
      <c r="G5" s="760" t="s">
        <v>101</v>
      </c>
      <c r="H5" s="376"/>
      <c r="I5" s="761" t="s">
        <v>193</v>
      </c>
      <c r="K5" s="369" t="s">
        <v>235</v>
      </c>
      <c r="L5" s="370">
        <v>130700</v>
      </c>
    </row>
    <row r="6" spans="1:17" s="353" customFormat="1" ht="30" customHeight="1">
      <c r="A6" s="555"/>
      <c r="B6" s="576" t="s">
        <v>199</v>
      </c>
      <c r="C6" s="580">
        <v>552000</v>
      </c>
      <c r="D6" s="581"/>
      <c r="E6" s="759"/>
      <c r="F6" s="368"/>
      <c r="G6" s="760"/>
      <c r="H6" s="376"/>
      <c r="I6" s="761"/>
      <c r="K6" s="369" t="s">
        <v>199</v>
      </c>
      <c r="L6" s="370">
        <v>552000</v>
      </c>
    </row>
    <row r="7" spans="1:17" s="353" customFormat="1" ht="30" customHeight="1">
      <c r="A7" s="556"/>
      <c r="B7" s="576" t="s">
        <v>226</v>
      </c>
      <c r="C7" s="580">
        <v>50100</v>
      </c>
      <c r="D7" s="581"/>
      <c r="E7" s="759"/>
      <c r="F7" s="368"/>
      <c r="G7" s="760"/>
      <c r="H7" s="376"/>
      <c r="I7" s="761"/>
      <c r="K7" s="371" t="s">
        <v>226</v>
      </c>
      <c r="L7" s="370">
        <v>50100</v>
      </c>
    </row>
    <row r="8" spans="1:17" s="354" customFormat="1" ht="30" customHeight="1">
      <c r="A8" s="557"/>
      <c r="B8" s="577" t="s">
        <v>227</v>
      </c>
      <c r="C8" s="580">
        <v>10500</v>
      </c>
      <c r="D8" s="582"/>
      <c r="E8" s="759"/>
      <c r="F8" s="566"/>
      <c r="G8" s="760"/>
      <c r="H8" s="564"/>
      <c r="I8" s="761"/>
      <c r="K8" s="372" t="s">
        <v>227</v>
      </c>
      <c r="L8" s="370">
        <v>10500</v>
      </c>
    </row>
    <row r="9" spans="1:17" s="354" customFormat="1" ht="30" customHeight="1">
      <c r="A9" s="557"/>
      <c r="B9" s="577" t="s">
        <v>296</v>
      </c>
      <c r="C9" s="580">
        <v>4500</v>
      </c>
      <c r="D9" s="582"/>
      <c r="E9" s="759"/>
      <c r="F9" s="566"/>
      <c r="G9" s="760"/>
      <c r="H9" s="564"/>
      <c r="I9" s="761"/>
      <c r="K9" s="372" t="s">
        <v>296</v>
      </c>
      <c r="L9" s="370">
        <v>4500</v>
      </c>
    </row>
    <row r="10" spans="1:17" s="354" customFormat="1" ht="30" customHeight="1">
      <c r="A10" s="557"/>
      <c r="B10" s="577" t="s">
        <v>228</v>
      </c>
      <c r="C10" s="580">
        <v>150000</v>
      </c>
      <c r="D10" s="582"/>
      <c r="E10" s="759"/>
      <c r="F10" s="566"/>
      <c r="G10" s="760"/>
      <c r="H10" s="564"/>
      <c r="I10" s="761"/>
      <c r="K10" s="372" t="s">
        <v>228</v>
      </c>
      <c r="L10" s="370">
        <v>150000</v>
      </c>
    </row>
    <row r="11" spans="1:17" s="354" customFormat="1" ht="30" customHeight="1">
      <c r="A11" s="558"/>
      <c r="B11" s="577" t="s">
        <v>253</v>
      </c>
      <c r="C11" s="580">
        <v>615000</v>
      </c>
      <c r="D11" s="582"/>
      <c r="E11" s="759"/>
      <c r="F11" s="566"/>
      <c r="G11" s="760"/>
      <c r="H11" s="564"/>
      <c r="I11" s="761"/>
      <c r="K11" s="372" t="s">
        <v>253</v>
      </c>
      <c r="L11" s="370">
        <v>615000</v>
      </c>
    </row>
    <row r="12" spans="1:17" s="354" customFormat="1" ht="30" customHeight="1">
      <c r="A12" s="558"/>
      <c r="B12" s="577" t="s">
        <v>254</v>
      </c>
      <c r="C12" s="580">
        <v>102000</v>
      </c>
      <c r="D12" s="582"/>
      <c r="E12" s="759"/>
      <c r="F12" s="566"/>
      <c r="G12" s="760"/>
      <c r="H12" s="564"/>
      <c r="I12" s="761"/>
      <c r="K12" s="373" t="s">
        <v>254</v>
      </c>
      <c r="L12" s="370">
        <v>102000</v>
      </c>
    </row>
    <row r="13" spans="1:17" s="353" customFormat="1" ht="30" customHeight="1">
      <c r="A13" s="556"/>
      <c r="B13" s="577" t="s">
        <v>261</v>
      </c>
      <c r="C13" s="580">
        <v>44100</v>
      </c>
      <c r="D13" s="581"/>
      <c r="E13" s="759"/>
      <c r="F13" s="368"/>
      <c r="G13" s="760"/>
      <c r="H13" s="376"/>
      <c r="I13" s="761"/>
      <c r="K13" s="372" t="s">
        <v>261</v>
      </c>
      <c r="L13" s="370">
        <v>44100</v>
      </c>
    </row>
    <row r="14" spans="1:17" s="353" customFormat="1" ht="30" customHeight="1">
      <c r="A14" s="556"/>
      <c r="B14" s="577" t="s">
        <v>229</v>
      </c>
      <c r="C14" s="580">
        <v>5900</v>
      </c>
      <c r="D14" s="581"/>
      <c r="E14" s="759"/>
      <c r="F14" s="368"/>
      <c r="G14" s="760"/>
      <c r="H14" s="376"/>
      <c r="I14" s="761"/>
      <c r="K14" s="373" t="s">
        <v>229</v>
      </c>
      <c r="L14" s="370">
        <v>5900</v>
      </c>
    </row>
    <row r="15" spans="1:17" s="354" customFormat="1" ht="30" customHeight="1">
      <c r="A15" s="557"/>
      <c r="B15" s="577" t="s">
        <v>255</v>
      </c>
      <c r="C15" s="580">
        <v>7200</v>
      </c>
      <c r="D15" s="582"/>
      <c r="E15" s="759"/>
      <c r="F15" s="566"/>
      <c r="G15" s="760"/>
      <c r="H15" s="564"/>
      <c r="I15" s="761"/>
      <c r="K15" s="372" t="s">
        <v>255</v>
      </c>
      <c r="L15" s="370">
        <v>7200</v>
      </c>
    </row>
    <row r="16" spans="1:17" s="354" customFormat="1" ht="30" customHeight="1">
      <c r="A16" s="558"/>
      <c r="B16" s="577" t="s">
        <v>230</v>
      </c>
      <c r="C16" s="580">
        <v>80800</v>
      </c>
      <c r="D16" s="582"/>
      <c r="E16" s="759"/>
      <c r="F16" s="566"/>
      <c r="G16" s="760"/>
      <c r="H16" s="564"/>
      <c r="I16" s="761"/>
      <c r="K16" s="372" t="s">
        <v>230</v>
      </c>
      <c r="L16" s="370">
        <v>80800</v>
      </c>
    </row>
    <row r="17" spans="1:12" s="353" customFormat="1" ht="30" customHeight="1">
      <c r="A17" s="556"/>
      <c r="B17" s="576" t="s">
        <v>256</v>
      </c>
      <c r="C17" s="580">
        <v>5200</v>
      </c>
      <c r="D17" s="581"/>
      <c r="E17" s="375"/>
      <c r="F17" s="368"/>
      <c r="G17" s="567"/>
      <c r="H17" s="376"/>
      <c r="I17" s="407"/>
      <c r="K17" s="374" t="s">
        <v>256</v>
      </c>
      <c r="L17" s="370">
        <v>5200</v>
      </c>
    </row>
    <row r="18" spans="1:12" s="353" customFormat="1" ht="30" customHeight="1">
      <c r="A18" s="555"/>
      <c r="B18" s="576" t="s">
        <v>170</v>
      </c>
      <c r="C18" s="580">
        <v>407300</v>
      </c>
      <c r="D18" s="581"/>
      <c r="E18" s="378"/>
      <c r="F18" s="381"/>
      <c r="G18" s="568"/>
      <c r="H18" s="379"/>
      <c r="I18" s="407"/>
      <c r="K18" s="374" t="s">
        <v>170</v>
      </c>
      <c r="L18" s="377">
        <v>407300</v>
      </c>
    </row>
    <row r="19" spans="1:12" s="353" customFormat="1" ht="30" customHeight="1">
      <c r="A19" s="559"/>
      <c r="B19" s="576" t="s">
        <v>237</v>
      </c>
      <c r="C19" s="580">
        <v>940500</v>
      </c>
      <c r="D19" s="583"/>
      <c r="E19" s="378"/>
      <c r="F19" s="381"/>
      <c r="G19" s="568"/>
      <c r="H19" s="379"/>
      <c r="I19" s="407"/>
      <c r="K19" s="374" t="s">
        <v>237</v>
      </c>
      <c r="L19" s="377">
        <v>940500</v>
      </c>
    </row>
    <row r="20" spans="1:12" s="353" customFormat="1" ht="30" customHeight="1">
      <c r="A20" s="560"/>
      <c r="B20" s="576" t="s">
        <v>238</v>
      </c>
      <c r="C20" s="580">
        <v>245500</v>
      </c>
      <c r="D20" s="583"/>
      <c r="E20" s="378"/>
      <c r="F20" s="381"/>
      <c r="G20" s="568"/>
      <c r="H20" s="379"/>
      <c r="I20" s="407"/>
      <c r="K20" s="374" t="s">
        <v>238</v>
      </c>
      <c r="L20" s="377">
        <v>245500</v>
      </c>
    </row>
    <row r="21" spans="1:12" s="355" customFormat="1" ht="30" customHeight="1">
      <c r="A21" s="559"/>
      <c r="B21" s="576" t="s">
        <v>257</v>
      </c>
      <c r="C21" s="580">
        <v>18000</v>
      </c>
      <c r="D21" s="583"/>
      <c r="E21" s="380"/>
      <c r="F21" s="381"/>
      <c r="G21" s="568"/>
      <c r="H21" s="379"/>
      <c r="I21" s="407"/>
      <c r="K21" s="374" t="s">
        <v>257</v>
      </c>
      <c r="L21" s="377">
        <v>18000</v>
      </c>
    </row>
    <row r="22" spans="1:12" s="355" customFormat="1" ht="30" customHeight="1">
      <c r="A22" s="559"/>
      <c r="B22" s="576" t="s">
        <v>239</v>
      </c>
      <c r="C22" s="580">
        <v>371800</v>
      </c>
      <c r="D22" s="583"/>
      <c r="E22" s="378"/>
      <c r="F22" s="381"/>
      <c r="G22" s="568"/>
      <c r="H22" s="379"/>
      <c r="I22" s="407"/>
      <c r="K22" s="374" t="s">
        <v>239</v>
      </c>
      <c r="L22" s="377">
        <v>371800</v>
      </c>
    </row>
    <row r="23" spans="1:12" s="355" customFormat="1" ht="30" customHeight="1">
      <c r="A23" s="559"/>
      <c r="B23" s="576" t="s">
        <v>258</v>
      </c>
      <c r="C23" s="580">
        <v>7600</v>
      </c>
      <c r="D23" s="583"/>
      <c r="E23" s="378"/>
      <c r="F23" s="381"/>
      <c r="G23" s="568"/>
      <c r="H23" s="379"/>
      <c r="I23" s="407"/>
      <c r="K23" s="371" t="s">
        <v>258</v>
      </c>
      <c r="L23" s="377">
        <v>7600</v>
      </c>
    </row>
    <row r="24" spans="1:12" s="355" customFormat="1" ht="30" customHeight="1">
      <c r="A24" s="560"/>
      <c r="B24" s="576" t="s">
        <v>174</v>
      </c>
      <c r="C24" s="580">
        <v>125700</v>
      </c>
      <c r="D24" s="583"/>
      <c r="E24" s="378"/>
      <c r="F24" s="381"/>
      <c r="G24" s="568"/>
      <c r="H24" s="379"/>
      <c r="I24" s="407"/>
      <c r="K24" s="371" t="s">
        <v>174</v>
      </c>
      <c r="L24" s="377">
        <v>125700</v>
      </c>
    </row>
    <row r="25" spans="1:12" s="355" customFormat="1" ht="30" customHeight="1">
      <c r="A25" s="560"/>
      <c r="B25" s="576" t="s">
        <v>171</v>
      </c>
      <c r="C25" s="580">
        <v>631400</v>
      </c>
      <c r="D25" s="583"/>
      <c r="E25" s="378"/>
      <c r="F25" s="381"/>
      <c r="G25" s="568"/>
      <c r="H25" s="379"/>
      <c r="I25" s="407"/>
      <c r="K25" s="371" t="s">
        <v>171</v>
      </c>
      <c r="L25" s="377">
        <v>631400</v>
      </c>
    </row>
    <row r="26" spans="1:12" s="355" customFormat="1" ht="30" customHeight="1">
      <c r="A26" s="559"/>
      <c r="B26" s="576" t="s">
        <v>231</v>
      </c>
      <c r="C26" s="580">
        <v>3232900</v>
      </c>
      <c r="D26" s="583"/>
      <c r="E26" s="378"/>
      <c r="F26" s="381"/>
      <c r="G26" s="568"/>
      <c r="H26" s="379"/>
      <c r="I26" s="407"/>
      <c r="K26" s="371" t="s">
        <v>231</v>
      </c>
      <c r="L26" s="377">
        <v>3232900</v>
      </c>
    </row>
    <row r="27" spans="1:12" s="355" customFormat="1" ht="30" customHeight="1">
      <c r="A27" s="559"/>
      <c r="B27" s="576" t="s">
        <v>236</v>
      </c>
      <c r="C27" s="580">
        <v>17900</v>
      </c>
      <c r="D27" s="583"/>
      <c r="E27" s="378"/>
      <c r="F27" s="381"/>
      <c r="G27" s="568"/>
      <c r="H27" s="379"/>
      <c r="I27" s="407"/>
      <c r="K27" s="371" t="s">
        <v>236</v>
      </c>
      <c r="L27" s="377">
        <v>17900</v>
      </c>
    </row>
    <row r="28" spans="1:12" s="355" customFormat="1" ht="30" customHeight="1">
      <c r="A28" s="559"/>
      <c r="B28" s="576" t="s">
        <v>232</v>
      </c>
      <c r="C28" s="580">
        <v>64800</v>
      </c>
      <c r="D28" s="583"/>
      <c r="E28" s="378"/>
      <c r="F28" s="381"/>
      <c r="G28" s="568"/>
      <c r="H28" s="379"/>
      <c r="I28" s="407"/>
      <c r="K28" s="371" t="s">
        <v>232</v>
      </c>
      <c r="L28" s="377">
        <v>64800</v>
      </c>
    </row>
    <row r="29" spans="1:12" s="355" customFormat="1" ht="30" customHeight="1">
      <c r="A29" s="559"/>
      <c r="B29" s="576" t="s">
        <v>233</v>
      </c>
      <c r="C29" s="580">
        <v>89000</v>
      </c>
      <c r="D29" s="583"/>
      <c r="E29" s="378"/>
      <c r="F29" s="381"/>
      <c r="G29" s="568"/>
      <c r="H29" s="379"/>
      <c r="I29" s="407"/>
      <c r="K29" s="371" t="s">
        <v>233</v>
      </c>
      <c r="L29" s="377">
        <v>89000</v>
      </c>
    </row>
    <row r="30" spans="1:12" s="355" customFormat="1" ht="30" customHeight="1">
      <c r="A30" s="561"/>
      <c r="B30" s="576" t="s">
        <v>260</v>
      </c>
      <c r="C30" s="580">
        <v>1300000</v>
      </c>
      <c r="D30" s="584"/>
      <c r="E30" s="571"/>
      <c r="F30" s="569"/>
      <c r="G30" s="570"/>
      <c r="H30" s="384"/>
      <c r="I30" s="385"/>
      <c r="K30" s="382" t="s">
        <v>259</v>
      </c>
      <c r="L30" s="383">
        <v>1300000</v>
      </c>
    </row>
    <row r="31" spans="1:12" ht="35.25" customHeight="1">
      <c r="A31" s="386"/>
      <c r="B31" s="386"/>
      <c r="C31" s="387">
        <f>SUM(C5:C30)</f>
        <v>9210400</v>
      </c>
      <c r="D31" s="386"/>
      <c r="E31" s="386"/>
      <c r="F31" s="386"/>
      <c r="G31" s="388"/>
      <c r="H31" s="388"/>
      <c r="I31" s="386"/>
    </row>
    <row r="32" spans="1:12">
      <c r="A32" s="386"/>
      <c r="B32" s="386"/>
      <c r="C32" s="387"/>
      <c r="D32" s="386"/>
      <c r="E32" s="386"/>
      <c r="F32" s="386"/>
      <c r="G32" s="388"/>
      <c r="H32" s="388"/>
      <c r="I32" s="386"/>
    </row>
    <row r="34" spans="9:9">
      <c r="I34" s="353"/>
    </row>
    <row r="49" spans="46:82">
      <c r="AT49" s="352"/>
      <c r="AU49" s="352"/>
      <c r="AV49" s="352"/>
      <c r="AW49" s="352"/>
      <c r="AX49" s="352"/>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D49" s="352"/>
    </row>
    <row r="50" spans="46:82">
      <c r="AT50" s="352"/>
      <c r="AU50" s="352"/>
      <c r="AV50" s="352"/>
      <c r="AW50" s="352"/>
      <c r="AX50" s="352"/>
      <c r="AY50" s="352"/>
      <c r="AZ50" s="352"/>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row>
  </sheetData>
  <mergeCells count="6">
    <mergeCell ref="A1:I1"/>
    <mergeCell ref="B2:I2"/>
    <mergeCell ref="O3:Q3"/>
    <mergeCell ref="E5:E16"/>
    <mergeCell ref="G5:G16"/>
    <mergeCell ref="I5:I16"/>
  </mergeCells>
  <phoneticPr fontId="4"/>
  <printOptions horizontalCentered="1"/>
  <pageMargins left="0.19685039370078741" right="0.19685039370078741" top="0.47244094488188981" bottom="0.94488188976377963" header="0.51181102362204722" footer="0.51181102362204722"/>
  <pageSetup paperSize="9" scale="90" orientation="portrait" cellComments="asDisplayed"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CD64"/>
  <sheetViews>
    <sheetView view="pageBreakPreview" zoomScale="115" zoomScaleNormal="100" zoomScaleSheetLayoutView="115" workbookViewId="0">
      <pane xSplit="4" ySplit="3" topLeftCell="H31" activePane="bottomRight" state="frozen"/>
      <selection activeCell="G66" sqref="G66"/>
      <selection pane="topRight" activeCell="G66" sqref="G66"/>
      <selection pane="bottomLeft" activeCell="G66" sqref="G66"/>
      <selection pane="bottomRight" activeCell="G66" sqref="G66"/>
    </sheetView>
  </sheetViews>
  <sheetFormatPr defaultColWidth="3.625" defaultRowHeight="13.5"/>
  <cols>
    <col min="1" max="24" width="4.125" style="358" customWidth="1"/>
    <col min="25" max="16384" width="3.625" style="358"/>
  </cols>
  <sheetData>
    <row r="1" spans="1:24" ht="10.5" customHeight="1">
      <c r="A1" s="786" t="s">
        <v>158</v>
      </c>
      <c r="B1" s="786"/>
      <c r="C1" s="786"/>
      <c r="D1" s="786"/>
      <c r="E1" s="786"/>
      <c r="F1" s="786"/>
      <c r="G1" s="786"/>
      <c r="H1" s="786"/>
      <c r="I1" s="786"/>
    </row>
    <row r="2" spans="1:24" ht="10.5" customHeight="1">
      <c r="A2" s="786"/>
      <c r="B2" s="786"/>
      <c r="C2" s="786"/>
      <c r="D2" s="786"/>
      <c r="E2" s="786"/>
      <c r="F2" s="786"/>
      <c r="G2" s="786"/>
      <c r="H2" s="786"/>
      <c r="I2" s="786"/>
    </row>
    <row r="3" spans="1:24" ht="10.5" customHeight="1">
      <c r="A3" s="786"/>
      <c r="B3" s="786"/>
      <c r="C3" s="786"/>
      <c r="D3" s="786"/>
      <c r="E3" s="786"/>
      <c r="F3" s="786"/>
      <c r="G3" s="786"/>
      <c r="H3" s="786"/>
      <c r="I3" s="786"/>
    </row>
    <row r="4" spans="1:24" ht="2.25" customHeight="1"/>
    <row r="5" spans="1:24" ht="15" customHeight="1">
      <c r="A5" s="787" t="s">
        <v>308</v>
      </c>
      <c r="B5" s="787"/>
      <c r="C5" s="787"/>
      <c r="D5" s="787"/>
      <c r="E5" s="787"/>
      <c r="F5" s="787"/>
      <c r="G5" s="787"/>
      <c r="H5" s="787"/>
      <c r="I5" s="787"/>
      <c r="J5" s="787"/>
      <c r="K5" s="787"/>
      <c r="L5" s="787"/>
      <c r="M5" s="787"/>
      <c r="N5" s="787"/>
      <c r="O5" s="787"/>
      <c r="P5" s="787"/>
      <c r="Q5" s="787"/>
      <c r="R5" s="787"/>
      <c r="S5" s="787"/>
      <c r="T5" s="787"/>
      <c r="U5" s="787"/>
      <c r="V5" s="787"/>
      <c r="W5" s="787"/>
      <c r="X5" s="787"/>
    </row>
    <row r="6" spans="1:24" ht="11.25" customHeight="1">
      <c r="A6" s="787"/>
      <c r="B6" s="787"/>
      <c r="C6" s="787"/>
      <c r="D6" s="787"/>
      <c r="E6" s="787"/>
      <c r="F6" s="787"/>
      <c r="G6" s="787"/>
      <c r="H6" s="787"/>
      <c r="I6" s="787"/>
      <c r="J6" s="787"/>
      <c r="K6" s="787"/>
      <c r="L6" s="787"/>
      <c r="M6" s="787"/>
      <c r="N6" s="787"/>
      <c r="O6" s="787"/>
      <c r="P6" s="787"/>
      <c r="Q6" s="787"/>
      <c r="R6" s="787"/>
      <c r="S6" s="787"/>
      <c r="T6" s="787"/>
      <c r="U6" s="787"/>
      <c r="V6" s="787"/>
      <c r="W6" s="787"/>
      <c r="X6" s="787"/>
    </row>
    <row r="7" spans="1:24" ht="11.25" customHeight="1">
      <c r="A7" s="787"/>
      <c r="B7" s="787"/>
      <c r="C7" s="787"/>
      <c r="D7" s="787"/>
      <c r="E7" s="787"/>
      <c r="F7" s="787"/>
      <c r="G7" s="787"/>
      <c r="H7" s="787"/>
      <c r="I7" s="787"/>
      <c r="J7" s="787"/>
      <c r="K7" s="787"/>
      <c r="L7" s="787"/>
      <c r="M7" s="787"/>
      <c r="N7" s="787"/>
      <c r="O7" s="787"/>
      <c r="P7" s="787"/>
      <c r="Q7" s="787"/>
      <c r="R7" s="787"/>
      <c r="S7" s="787"/>
      <c r="T7" s="787"/>
      <c r="U7" s="787"/>
      <c r="V7" s="787"/>
      <c r="W7" s="787"/>
      <c r="X7" s="787"/>
    </row>
    <row r="25" spans="1:26" ht="11.25" customHeight="1"/>
    <row r="27" spans="1:26" ht="12" customHeight="1">
      <c r="W27" s="782" t="s">
        <v>159</v>
      </c>
      <c r="X27" s="782"/>
    </row>
    <row r="28" spans="1:26" ht="12" customHeight="1">
      <c r="A28" s="770"/>
      <c r="B28" s="771"/>
      <c r="C28" s="771"/>
      <c r="D28" s="772"/>
      <c r="E28" s="778" t="s">
        <v>262</v>
      </c>
      <c r="F28" s="779"/>
      <c r="G28" s="778" t="s">
        <v>263</v>
      </c>
      <c r="H28" s="779"/>
      <c r="I28" s="778" t="s">
        <v>264</v>
      </c>
      <c r="J28" s="779"/>
      <c r="K28" s="778" t="s">
        <v>265</v>
      </c>
      <c r="L28" s="779"/>
      <c r="M28" s="778" t="s">
        <v>266</v>
      </c>
      <c r="N28" s="779"/>
      <c r="O28" s="778" t="s">
        <v>267</v>
      </c>
      <c r="P28" s="779"/>
      <c r="Q28" s="778" t="s">
        <v>268</v>
      </c>
      <c r="R28" s="779"/>
      <c r="S28" s="778" t="s">
        <v>269</v>
      </c>
      <c r="T28" s="779"/>
      <c r="U28" s="778" t="s">
        <v>270</v>
      </c>
      <c r="V28" s="779"/>
      <c r="W28" s="778" t="s">
        <v>272</v>
      </c>
      <c r="X28" s="779"/>
    </row>
    <row r="29" spans="1:26" ht="12" customHeight="1">
      <c r="A29" s="773"/>
      <c r="B29" s="774"/>
      <c r="C29" s="774"/>
      <c r="D29" s="775"/>
      <c r="E29" s="784"/>
      <c r="F29" s="785"/>
      <c r="G29" s="784"/>
      <c r="H29" s="785"/>
      <c r="I29" s="784"/>
      <c r="J29" s="785"/>
      <c r="K29" s="784"/>
      <c r="L29" s="785"/>
      <c r="M29" s="784"/>
      <c r="N29" s="785"/>
      <c r="O29" s="784"/>
      <c r="P29" s="785"/>
      <c r="Q29" s="784"/>
      <c r="R29" s="785"/>
      <c r="S29" s="784"/>
      <c r="T29" s="785"/>
      <c r="U29" s="784" t="s">
        <v>271</v>
      </c>
      <c r="V29" s="785"/>
      <c r="W29" s="784" t="s">
        <v>149</v>
      </c>
      <c r="X29" s="785"/>
      <c r="Z29" s="359" t="s">
        <v>206</v>
      </c>
    </row>
    <row r="30" spans="1:26">
      <c r="A30" s="765" t="s">
        <v>150</v>
      </c>
      <c r="B30" s="765"/>
      <c r="C30" s="765"/>
      <c r="D30" s="765"/>
      <c r="E30" s="763">
        <v>38499881</v>
      </c>
      <c r="F30" s="763"/>
      <c r="G30" s="763">
        <v>40127583</v>
      </c>
      <c r="H30" s="763"/>
      <c r="I30" s="763">
        <v>41605710</v>
      </c>
      <c r="J30" s="763"/>
      <c r="K30" s="763">
        <v>43038565</v>
      </c>
      <c r="L30" s="763"/>
      <c r="M30" s="763">
        <v>43737542</v>
      </c>
      <c r="N30" s="763"/>
      <c r="O30" s="763">
        <v>43966765</v>
      </c>
      <c r="P30" s="763"/>
      <c r="Q30" s="763">
        <v>46688825</v>
      </c>
      <c r="R30" s="763"/>
      <c r="S30" s="763">
        <v>45293456</v>
      </c>
      <c r="T30" s="763"/>
      <c r="U30" s="763">
        <v>42870795</v>
      </c>
      <c r="V30" s="763"/>
      <c r="W30" s="764">
        <v>40512432</v>
      </c>
      <c r="X30" s="764"/>
    </row>
    <row r="31" spans="1:26">
      <c r="A31" s="783" t="s">
        <v>151</v>
      </c>
      <c r="B31" s="783"/>
      <c r="C31" s="783"/>
      <c r="D31" s="783"/>
      <c r="E31" s="763">
        <v>211177</v>
      </c>
      <c r="F31" s="763"/>
      <c r="G31" s="763">
        <v>106685</v>
      </c>
      <c r="H31" s="763"/>
      <c r="I31" s="763">
        <v>0</v>
      </c>
      <c r="J31" s="763"/>
      <c r="K31" s="763">
        <v>0</v>
      </c>
      <c r="L31" s="763"/>
      <c r="M31" s="763">
        <v>0</v>
      </c>
      <c r="N31" s="763"/>
      <c r="O31" s="763">
        <v>0</v>
      </c>
      <c r="P31" s="763"/>
      <c r="Q31" s="763">
        <v>0</v>
      </c>
      <c r="R31" s="763"/>
      <c r="S31" s="763">
        <v>0</v>
      </c>
      <c r="T31" s="763"/>
      <c r="U31" s="763">
        <v>0</v>
      </c>
      <c r="V31" s="763"/>
      <c r="W31" s="764">
        <v>0</v>
      </c>
      <c r="X31" s="764"/>
    </row>
    <row r="32" spans="1:26">
      <c r="A32" s="765" t="s">
        <v>152</v>
      </c>
      <c r="B32" s="765"/>
      <c r="C32" s="765"/>
      <c r="D32" s="765"/>
      <c r="E32" s="763">
        <v>2308158</v>
      </c>
      <c r="F32" s="763"/>
      <c r="G32" s="763">
        <v>1900701</v>
      </c>
      <c r="H32" s="763"/>
      <c r="I32" s="763">
        <v>1488237</v>
      </c>
      <c r="J32" s="763"/>
      <c r="K32" s="763">
        <v>1128722</v>
      </c>
      <c r="L32" s="763"/>
      <c r="M32" s="763">
        <v>838831</v>
      </c>
      <c r="N32" s="763"/>
      <c r="O32" s="763">
        <v>606276</v>
      </c>
      <c r="P32" s="763"/>
      <c r="Q32" s="763">
        <v>413911</v>
      </c>
      <c r="R32" s="763"/>
      <c r="S32" s="763">
        <v>259710</v>
      </c>
      <c r="T32" s="763"/>
      <c r="U32" s="763">
        <v>142246</v>
      </c>
      <c r="V32" s="763"/>
      <c r="W32" s="764">
        <v>60101</v>
      </c>
      <c r="X32" s="764"/>
    </row>
    <row r="33" spans="1:82">
      <c r="A33" s="765" t="s">
        <v>203</v>
      </c>
      <c r="B33" s="765"/>
      <c r="C33" s="765"/>
      <c r="D33" s="765"/>
      <c r="E33" s="766">
        <v>0</v>
      </c>
      <c r="F33" s="767"/>
      <c r="G33" s="766">
        <v>0</v>
      </c>
      <c r="H33" s="767"/>
      <c r="I33" s="766">
        <v>0</v>
      </c>
      <c r="J33" s="767"/>
      <c r="K33" s="766">
        <v>0</v>
      </c>
      <c r="L33" s="767"/>
      <c r="M33" s="766">
        <v>0</v>
      </c>
      <c r="N33" s="767"/>
      <c r="O33" s="766">
        <v>449000</v>
      </c>
      <c r="P33" s="767"/>
      <c r="Q33" s="766">
        <v>436603</v>
      </c>
      <c r="R33" s="767"/>
      <c r="S33" s="766">
        <v>436603</v>
      </c>
      <c r="T33" s="767"/>
      <c r="U33" s="763">
        <v>436603</v>
      </c>
      <c r="V33" s="763"/>
      <c r="W33" s="764">
        <v>410920</v>
      </c>
      <c r="X33" s="764"/>
    </row>
    <row r="34" spans="1:82">
      <c r="A34" s="765" t="s">
        <v>204</v>
      </c>
      <c r="B34" s="765"/>
      <c r="C34" s="765"/>
      <c r="D34" s="765"/>
      <c r="E34" s="766">
        <v>0</v>
      </c>
      <c r="F34" s="767"/>
      <c r="G34" s="766">
        <v>0</v>
      </c>
      <c r="H34" s="767"/>
      <c r="I34" s="766">
        <v>0</v>
      </c>
      <c r="J34" s="767"/>
      <c r="K34" s="766">
        <v>0</v>
      </c>
      <c r="L34" s="767"/>
      <c r="M34" s="766">
        <v>0</v>
      </c>
      <c r="N34" s="767"/>
      <c r="O34" s="766">
        <v>273100</v>
      </c>
      <c r="P34" s="767"/>
      <c r="Q34" s="766">
        <v>273100</v>
      </c>
      <c r="R34" s="767"/>
      <c r="S34" s="766">
        <v>273100</v>
      </c>
      <c r="T34" s="767"/>
      <c r="U34" s="763">
        <v>273100</v>
      </c>
      <c r="V34" s="763"/>
      <c r="W34" s="764">
        <v>257040</v>
      </c>
      <c r="X34" s="764"/>
    </row>
    <row r="35" spans="1:82">
      <c r="A35" s="765" t="s">
        <v>153</v>
      </c>
      <c r="B35" s="765"/>
      <c r="C35" s="765"/>
      <c r="D35" s="765"/>
      <c r="E35" s="763">
        <v>28132245</v>
      </c>
      <c r="F35" s="763"/>
      <c r="G35" s="763">
        <v>26554209</v>
      </c>
      <c r="H35" s="763"/>
      <c r="I35" s="763">
        <v>27965187</v>
      </c>
      <c r="J35" s="763"/>
      <c r="K35" s="763">
        <v>26090175</v>
      </c>
      <c r="L35" s="763"/>
      <c r="M35" s="763">
        <v>25608165</v>
      </c>
      <c r="N35" s="763"/>
      <c r="O35" s="763">
        <v>30701223</v>
      </c>
      <c r="P35" s="763"/>
      <c r="Q35" s="763">
        <v>30622500</v>
      </c>
      <c r="R35" s="763"/>
      <c r="S35" s="763">
        <v>30219088</v>
      </c>
      <c r="T35" s="763"/>
      <c r="U35" s="764">
        <v>32880153</v>
      </c>
      <c r="V35" s="764"/>
      <c r="W35" s="764">
        <v>37164152</v>
      </c>
      <c r="X35" s="764"/>
    </row>
    <row r="36" spans="1:82" s="360" customFormat="1">
      <c r="A36" s="765" t="s">
        <v>154</v>
      </c>
      <c r="B36" s="765"/>
      <c r="C36" s="765"/>
      <c r="D36" s="765"/>
      <c r="E36" s="763">
        <f>SUM(E30:F35)</f>
        <v>69151461</v>
      </c>
      <c r="F36" s="763"/>
      <c r="G36" s="763">
        <f>SUM(G30:H35)</f>
        <v>68689178</v>
      </c>
      <c r="H36" s="763"/>
      <c r="I36" s="763">
        <f>SUM(I30:J35)</f>
        <v>71059134</v>
      </c>
      <c r="J36" s="763"/>
      <c r="K36" s="763">
        <f>SUM(K30:L35)</f>
        <v>70257462</v>
      </c>
      <c r="L36" s="763"/>
      <c r="M36" s="763">
        <f>SUM(M30:N35)</f>
        <v>70184538</v>
      </c>
      <c r="N36" s="763"/>
      <c r="O36" s="763">
        <f>SUM(O30:P35)</f>
        <v>75996364</v>
      </c>
      <c r="P36" s="763"/>
      <c r="Q36" s="763">
        <f>SUM(Q30:R35)</f>
        <v>78434939</v>
      </c>
      <c r="R36" s="763"/>
      <c r="S36" s="763">
        <f>SUM(S30:T35)</f>
        <v>76481957</v>
      </c>
      <c r="T36" s="763"/>
      <c r="U36" s="763">
        <f>SUM(U30:V35)</f>
        <v>76602897</v>
      </c>
      <c r="V36" s="763"/>
      <c r="W36" s="763">
        <f>SUM(W30:X35)</f>
        <v>78404645</v>
      </c>
      <c r="X36" s="763"/>
    </row>
    <row r="47" spans="1:82">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c r="CD47" s="361"/>
    </row>
    <row r="48" spans="1:82">
      <c r="AT48" s="361"/>
      <c r="AU48" s="361"/>
      <c r="AV48" s="361"/>
      <c r="AW48" s="361"/>
      <c r="AX48" s="361"/>
      <c r="AY48" s="361"/>
      <c r="AZ48" s="361"/>
      <c r="BA48" s="361"/>
      <c r="BB48" s="361"/>
      <c r="BC48" s="361"/>
      <c r="BD48" s="361"/>
      <c r="BE48" s="361"/>
      <c r="BF48" s="361"/>
      <c r="BG48" s="361"/>
      <c r="BH48" s="361"/>
      <c r="BI48" s="361"/>
      <c r="BJ48" s="361"/>
      <c r="BK48" s="361"/>
      <c r="BL48" s="361"/>
      <c r="BM48" s="361"/>
      <c r="BN48" s="361"/>
      <c r="BO48" s="361"/>
      <c r="BP48" s="361"/>
      <c r="BQ48" s="361"/>
      <c r="BR48" s="361"/>
      <c r="BS48" s="361"/>
      <c r="BT48" s="361"/>
      <c r="BU48" s="361"/>
      <c r="BV48" s="361"/>
      <c r="BW48" s="361"/>
      <c r="BX48" s="361"/>
      <c r="BY48" s="361"/>
      <c r="BZ48" s="361"/>
      <c r="CA48" s="361"/>
      <c r="CB48" s="361"/>
      <c r="CC48" s="361"/>
      <c r="CD48" s="361"/>
    </row>
    <row r="55" spans="1:26" ht="5.0999999999999996" customHeight="1"/>
    <row r="56" spans="1:26" ht="13.5" customHeight="1">
      <c r="W56" s="782" t="s">
        <v>159</v>
      </c>
      <c r="X56" s="782"/>
    </row>
    <row r="57" spans="1:26" ht="13.5" customHeight="1">
      <c r="A57" s="770"/>
      <c r="B57" s="771"/>
      <c r="C57" s="771"/>
      <c r="D57" s="772"/>
      <c r="E57" s="776" t="s">
        <v>262</v>
      </c>
      <c r="F57" s="777"/>
      <c r="G57" s="776" t="s">
        <v>263</v>
      </c>
      <c r="H57" s="777"/>
      <c r="I57" s="776" t="s">
        <v>264</v>
      </c>
      <c r="J57" s="777"/>
      <c r="K57" s="778" t="s">
        <v>265</v>
      </c>
      <c r="L57" s="779"/>
      <c r="M57" s="778" t="s">
        <v>266</v>
      </c>
      <c r="N57" s="779"/>
      <c r="O57" s="778" t="s">
        <v>267</v>
      </c>
      <c r="P57" s="779"/>
      <c r="Q57" s="778" t="s">
        <v>268</v>
      </c>
      <c r="R57" s="779"/>
      <c r="S57" s="778" t="s">
        <v>269</v>
      </c>
      <c r="T57" s="779"/>
      <c r="U57" s="778" t="s">
        <v>270</v>
      </c>
      <c r="V57" s="779"/>
      <c r="W57" s="778" t="s">
        <v>272</v>
      </c>
      <c r="X57" s="779"/>
    </row>
    <row r="58" spans="1:26" ht="9.9499999999999993" customHeight="1">
      <c r="A58" s="773"/>
      <c r="B58" s="774"/>
      <c r="C58" s="774"/>
      <c r="D58" s="775"/>
      <c r="E58" s="446"/>
      <c r="F58" s="447"/>
      <c r="G58" s="446"/>
      <c r="H58" s="447"/>
      <c r="I58" s="780"/>
      <c r="J58" s="781"/>
      <c r="K58" s="780"/>
      <c r="L58" s="781"/>
      <c r="M58" s="780"/>
      <c r="N58" s="781"/>
      <c r="O58" s="780"/>
      <c r="P58" s="781"/>
      <c r="Q58" s="780"/>
      <c r="R58" s="781"/>
      <c r="S58" s="780"/>
      <c r="T58" s="781"/>
      <c r="U58" s="780" t="s">
        <v>271</v>
      </c>
      <c r="V58" s="781"/>
      <c r="W58" s="780" t="s">
        <v>149</v>
      </c>
      <c r="X58" s="781"/>
      <c r="Z58" s="359"/>
    </row>
    <row r="59" spans="1:26">
      <c r="A59" s="765" t="s">
        <v>155</v>
      </c>
      <c r="B59" s="765"/>
      <c r="C59" s="765"/>
      <c r="D59" s="765"/>
      <c r="E59" s="766">
        <v>5882719</v>
      </c>
      <c r="F59" s="769"/>
      <c r="G59" s="766">
        <v>5887580</v>
      </c>
      <c r="H59" s="769"/>
      <c r="I59" s="766">
        <v>6117785</v>
      </c>
      <c r="J59" s="769"/>
      <c r="K59" s="763">
        <v>6229012</v>
      </c>
      <c r="L59" s="763"/>
      <c r="M59" s="763">
        <v>6132539</v>
      </c>
      <c r="N59" s="763"/>
      <c r="O59" s="763">
        <v>5928326</v>
      </c>
      <c r="P59" s="763"/>
      <c r="Q59" s="763">
        <v>5622679</v>
      </c>
      <c r="R59" s="763"/>
      <c r="S59" s="763">
        <v>5268160</v>
      </c>
      <c r="T59" s="763"/>
      <c r="U59" s="764">
        <v>5194439</v>
      </c>
      <c r="V59" s="764"/>
      <c r="W59" s="764">
        <v>5468499</v>
      </c>
      <c r="X59" s="764"/>
    </row>
    <row r="60" spans="1:26">
      <c r="A60" s="765" t="s">
        <v>156</v>
      </c>
      <c r="B60" s="765"/>
      <c r="C60" s="765"/>
      <c r="D60" s="765"/>
      <c r="E60" s="766">
        <v>1324800</v>
      </c>
      <c r="F60" s="769"/>
      <c r="G60" s="766">
        <v>2099300</v>
      </c>
      <c r="H60" s="769"/>
      <c r="I60" s="766">
        <v>2022460</v>
      </c>
      <c r="J60" s="769"/>
      <c r="K60" s="763">
        <v>1797700</v>
      </c>
      <c r="L60" s="763"/>
      <c r="M60" s="763">
        <v>1540900</v>
      </c>
      <c r="N60" s="763"/>
      <c r="O60" s="763">
        <v>1284100</v>
      </c>
      <c r="P60" s="763"/>
      <c r="Q60" s="763">
        <v>1218600</v>
      </c>
      <c r="R60" s="763"/>
      <c r="S60" s="763">
        <v>1000900</v>
      </c>
      <c r="T60" s="763"/>
      <c r="U60" s="764">
        <v>613600</v>
      </c>
      <c r="V60" s="764"/>
      <c r="W60" s="764">
        <v>306800</v>
      </c>
      <c r="X60" s="764"/>
    </row>
    <row r="61" spans="1:26">
      <c r="A61" s="765" t="s">
        <v>157</v>
      </c>
      <c r="B61" s="765"/>
      <c r="C61" s="765"/>
      <c r="D61" s="765"/>
      <c r="E61" s="766">
        <v>39053568</v>
      </c>
      <c r="F61" s="769"/>
      <c r="G61" s="766">
        <v>36657778</v>
      </c>
      <c r="H61" s="769"/>
      <c r="I61" s="766">
        <v>34295493</v>
      </c>
      <c r="J61" s="769"/>
      <c r="K61" s="763">
        <v>31901375</v>
      </c>
      <c r="L61" s="763"/>
      <c r="M61" s="763">
        <v>29846493</v>
      </c>
      <c r="N61" s="763"/>
      <c r="O61" s="763" t="s">
        <v>194</v>
      </c>
      <c r="P61" s="763"/>
      <c r="Q61" s="763" t="s">
        <v>194</v>
      </c>
      <c r="R61" s="763"/>
      <c r="S61" s="763" t="s">
        <v>194</v>
      </c>
      <c r="T61" s="763"/>
      <c r="U61" s="764" t="s">
        <v>194</v>
      </c>
      <c r="V61" s="764"/>
      <c r="W61" s="764" t="s">
        <v>200</v>
      </c>
      <c r="X61" s="764"/>
    </row>
    <row r="62" spans="1:26">
      <c r="A62" s="765" t="s">
        <v>179</v>
      </c>
      <c r="B62" s="765"/>
      <c r="C62" s="765"/>
      <c r="D62" s="765"/>
      <c r="E62" s="766">
        <v>20000</v>
      </c>
      <c r="F62" s="767"/>
      <c r="G62" s="766">
        <v>20000</v>
      </c>
      <c r="H62" s="768"/>
      <c r="I62" s="766">
        <v>272889</v>
      </c>
      <c r="J62" s="768"/>
      <c r="K62" s="763">
        <v>272889</v>
      </c>
      <c r="L62" s="763"/>
      <c r="M62" s="763">
        <v>224745</v>
      </c>
      <c r="N62" s="763"/>
      <c r="O62" s="763">
        <v>128196</v>
      </c>
      <c r="P62" s="763"/>
      <c r="Q62" s="763">
        <v>63834</v>
      </c>
      <c r="R62" s="763"/>
      <c r="S62" s="763">
        <v>48231</v>
      </c>
      <c r="T62" s="763"/>
      <c r="U62" s="764">
        <v>45484</v>
      </c>
      <c r="V62" s="764"/>
      <c r="W62" s="764">
        <v>42384</v>
      </c>
      <c r="X62" s="764"/>
    </row>
    <row r="63" spans="1:26">
      <c r="A63" s="765" t="s">
        <v>154</v>
      </c>
      <c r="B63" s="765"/>
      <c r="C63" s="765"/>
      <c r="D63" s="765"/>
      <c r="E63" s="763">
        <f t="shared" ref="E63" si="0">SUM(E59:F62)</f>
        <v>46281087</v>
      </c>
      <c r="F63" s="763"/>
      <c r="G63" s="763">
        <f t="shared" ref="G63" si="1">SUM(G59:H62)</f>
        <v>44664658</v>
      </c>
      <c r="H63" s="763"/>
      <c r="I63" s="763">
        <f>SUM(I59:J62)</f>
        <v>42708627</v>
      </c>
      <c r="J63" s="763"/>
      <c r="K63" s="763">
        <f>SUM(K59:L62)</f>
        <v>40200976</v>
      </c>
      <c r="L63" s="763"/>
      <c r="M63" s="763">
        <f>SUM(M59:N62)</f>
        <v>37744677</v>
      </c>
      <c r="N63" s="763"/>
      <c r="O63" s="763">
        <f>SUM(O59:P62)</f>
        <v>7340622</v>
      </c>
      <c r="P63" s="763"/>
      <c r="Q63" s="763">
        <f>SUM(Q59:R62)</f>
        <v>6905113</v>
      </c>
      <c r="R63" s="763"/>
      <c r="S63" s="763">
        <f>SUM(S59:T62)</f>
        <v>6317291</v>
      </c>
      <c r="T63" s="763"/>
      <c r="U63" s="763">
        <f>SUM(U59:V62)</f>
        <v>5853523</v>
      </c>
      <c r="V63" s="763"/>
      <c r="W63" s="763">
        <f>SUM(W59:X62)</f>
        <v>5817683</v>
      </c>
      <c r="X63" s="763"/>
    </row>
    <row r="64" spans="1:26" ht="25.5" customHeight="1">
      <c r="A64" s="762" t="s">
        <v>216</v>
      </c>
      <c r="B64" s="762"/>
      <c r="C64" s="762"/>
      <c r="D64" s="762"/>
      <c r="E64" s="762"/>
      <c r="F64" s="762"/>
      <c r="G64" s="762"/>
      <c r="H64" s="762"/>
      <c r="I64" s="762"/>
      <c r="J64" s="762"/>
      <c r="K64" s="762"/>
      <c r="L64" s="762"/>
      <c r="M64" s="762"/>
      <c r="N64" s="762"/>
      <c r="O64" s="762"/>
      <c r="P64" s="762"/>
      <c r="Q64" s="762"/>
      <c r="R64" s="762"/>
      <c r="S64" s="762"/>
      <c r="T64" s="762"/>
      <c r="U64" s="762"/>
      <c r="V64" s="762"/>
      <c r="W64" s="762"/>
      <c r="X64" s="762"/>
    </row>
  </sheetData>
  <mergeCells count="177">
    <mergeCell ref="A1:I3"/>
    <mergeCell ref="A5:X7"/>
    <mergeCell ref="W27:X27"/>
    <mergeCell ref="A28:D29"/>
    <mergeCell ref="E28:F28"/>
    <mergeCell ref="G28:H28"/>
    <mergeCell ref="I28:J28"/>
    <mergeCell ref="K28:L28"/>
    <mergeCell ref="M28:N28"/>
    <mergeCell ref="O28:P28"/>
    <mergeCell ref="Q28:R28"/>
    <mergeCell ref="S28:T28"/>
    <mergeCell ref="U28:V28"/>
    <mergeCell ref="W28:X28"/>
    <mergeCell ref="E29:F29"/>
    <mergeCell ref="G29:H29"/>
    <mergeCell ref="I29:J29"/>
    <mergeCell ref="K29:L29"/>
    <mergeCell ref="M29:N29"/>
    <mergeCell ref="O29:P29"/>
    <mergeCell ref="A31:D31"/>
    <mergeCell ref="E31:F31"/>
    <mergeCell ref="G31:H31"/>
    <mergeCell ref="I31:J31"/>
    <mergeCell ref="K31:L31"/>
    <mergeCell ref="Q29:R29"/>
    <mergeCell ref="S29:T29"/>
    <mergeCell ref="U29:V29"/>
    <mergeCell ref="W29:X29"/>
    <mergeCell ref="A30:D30"/>
    <mergeCell ref="E30:F30"/>
    <mergeCell ref="G30:H30"/>
    <mergeCell ref="I30:J30"/>
    <mergeCell ref="K30:L30"/>
    <mergeCell ref="M30:N30"/>
    <mergeCell ref="M31:N31"/>
    <mergeCell ref="O31:P31"/>
    <mergeCell ref="Q31:R31"/>
    <mergeCell ref="S31:T31"/>
    <mergeCell ref="U31:V31"/>
    <mergeCell ref="W31:X31"/>
    <mergeCell ref="O30:P30"/>
    <mergeCell ref="Q30:R30"/>
    <mergeCell ref="S30:T30"/>
    <mergeCell ref="U30:V30"/>
    <mergeCell ref="W30:X30"/>
    <mergeCell ref="A33:D33"/>
    <mergeCell ref="E33:F33"/>
    <mergeCell ref="G33:H33"/>
    <mergeCell ref="I33:J33"/>
    <mergeCell ref="K33:L33"/>
    <mergeCell ref="A32:D32"/>
    <mergeCell ref="E32:F32"/>
    <mergeCell ref="G32:H32"/>
    <mergeCell ref="I32:J32"/>
    <mergeCell ref="K32:L32"/>
    <mergeCell ref="M33:N33"/>
    <mergeCell ref="O33:P33"/>
    <mergeCell ref="Q33:R33"/>
    <mergeCell ref="S33:T33"/>
    <mergeCell ref="U33:V33"/>
    <mergeCell ref="W33:X33"/>
    <mergeCell ref="O32:P32"/>
    <mergeCell ref="Q32:R32"/>
    <mergeCell ref="S32:T32"/>
    <mergeCell ref="U32:V32"/>
    <mergeCell ref="W32:X32"/>
    <mergeCell ref="M32:N32"/>
    <mergeCell ref="A35:D35"/>
    <mergeCell ref="E35:F35"/>
    <mergeCell ref="G35:H35"/>
    <mergeCell ref="I35:J35"/>
    <mergeCell ref="K35:L35"/>
    <mergeCell ref="A34:D34"/>
    <mergeCell ref="E34:F34"/>
    <mergeCell ref="G34:H34"/>
    <mergeCell ref="I34:J34"/>
    <mergeCell ref="K34:L34"/>
    <mergeCell ref="M35:N35"/>
    <mergeCell ref="O35:P35"/>
    <mergeCell ref="Q35:R35"/>
    <mergeCell ref="S35:T35"/>
    <mergeCell ref="U35:V35"/>
    <mergeCell ref="W35:X35"/>
    <mergeCell ref="O34:P34"/>
    <mergeCell ref="Q34:R34"/>
    <mergeCell ref="S34:T34"/>
    <mergeCell ref="U34:V34"/>
    <mergeCell ref="W34:X34"/>
    <mergeCell ref="M34:N34"/>
    <mergeCell ref="O36:P36"/>
    <mergeCell ref="Q36:R36"/>
    <mergeCell ref="S36:T36"/>
    <mergeCell ref="U36:V36"/>
    <mergeCell ref="W36:X36"/>
    <mergeCell ref="W56:X56"/>
    <mergeCell ref="A36:D36"/>
    <mergeCell ref="E36:F36"/>
    <mergeCell ref="G36:H36"/>
    <mergeCell ref="I36:J36"/>
    <mergeCell ref="K36:L36"/>
    <mergeCell ref="M36:N36"/>
    <mergeCell ref="A57:D58"/>
    <mergeCell ref="E57:F57"/>
    <mergeCell ref="G57:H57"/>
    <mergeCell ref="O57:P57"/>
    <mergeCell ref="Q57:R57"/>
    <mergeCell ref="S57:T57"/>
    <mergeCell ref="U57:V57"/>
    <mergeCell ref="W57:X57"/>
    <mergeCell ref="K58:L58"/>
    <mergeCell ref="M58:N58"/>
    <mergeCell ref="O58:P58"/>
    <mergeCell ref="Q58:R58"/>
    <mergeCell ref="S58:T58"/>
    <mergeCell ref="K57:L57"/>
    <mergeCell ref="M57:N57"/>
    <mergeCell ref="U58:V58"/>
    <mergeCell ref="W58:X58"/>
    <mergeCell ref="I57:J57"/>
    <mergeCell ref="I58:J58"/>
    <mergeCell ref="S59:T59"/>
    <mergeCell ref="U59:V59"/>
    <mergeCell ref="W59:X59"/>
    <mergeCell ref="A60:D60"/>
    <mergeCell ref="E60:F60"/>
    <mergeCell ref="G60:H60"/>
    <mergeCell ref="K60:L60"/>
    <mergeCell ref="M60:N60"/>
    <mergeCell ref="O60:P60"/>
    <mergeCell ref="Q60:R60"/>
    <mergeCell ref="S60:T60"/>
    <mergeCell ref="U60:V60"/>
    <mergeCell ref="W60:X60"/>
    <mergeCell ref="A59:D59"/>
    <mergeCell ref="E59:F59"/>
    <mergeCell ref="G59:H59"/>
    <mergeCell ref="K59:L59"/>
    <mergeCell ref="M59:N59"/>
    <mergeCell ref="O59:P59"/>
    <mergeCell ref="Q59:R59"/>
    <mergeCell ref="I59:J59"/>
    <mergeCell ref="I60:J60"/>
    <mergeCell ref="U61:V61"/>
    <mergeCell ref="W61:X61"/>
    <mergeCell ref="A62:D62"/>
    <mergeCell ref="G62:H62"/>
    <mergeCell ref="K62:L62"/>
    <mergeCell ref="M62:N62"/>
    <mergeCell ref="O62:P62"/>
    <mergeCell ref="O63:P63"/>
    <mergeCell ref="Q63:R63"/>
    <mergeCell ref="S63:T63"/>
    <mergeCell ref="U63:V63"/>
    <mergeCell ref="W63:X63"/>
    <mergeCell ref="A61:D61"/>
    <mergeCell ref="E61:F61"/>
    <mergeCell ref="G61:H61"/>
    <mergeCell ref="K61:L61"/>
    <mergeCell ref="M61:N61"/>
    <mergeCell ref="O61:P61"/>
    <mergeCell ref="Q61:R61"/>
    <mergeCell ref="S61:T61"/>
    <mergeCell ref="I61:J61"/>
    <mergeCell ref="I62:J62"/>
    <mergeCell ref="I63:J63"/>
    <mergeCell ref="A64:X64"/>
    <mergeCell ref="Q62:R62"/>
    <mergeCell ref="S62:T62"/>
    <mergeCell ref="U62:V62"/>
    <mergeCell ref="W62:X62"/>
    <mergeCell ref="A63:D63"/>
    <mergeCell ref="E63:F63"/>
    <mergeCell ref="G63:H63"/>
    <mergeCell ref="K63:L63"/>
    <mergeCell ref="M63:N63"/>
    <mergeCell ref="E62:F62"/>
  </mergeCells>
  <phoneticPr fontId="4"/>
  <pageMargins left="0" right="0.39370078740157483" top="0.59055118110236227" bottom="0.59055118110236227" header="0" footer="0"/>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3"/>
  </sheetPr>
  <dimension ref="A1:AF118"/>
  <sheetViews>
    <sheetView zoomScale="85" zoomScaleNormal="85" zoomScaleSheetLayoutView="100" workbookViewId="0">
      <selection activeCell="G66" sqref="G66"/>
    </sheetView>
  </sheetViews>
  <sheetFormatPr defaultColWidth="9" defaultRowHeight="14.25"/>
  <cols>
    <col min="1" max="2" width="2.875" style="1" customWidth="1"/>
    <col min="3" max="3" width="20.375" style="1" customWidth="1"/>
    <col min="4" max="4" width="13.875" style="1" bestFit="1" customWidth="1"/>
    <col min="5" max="5" width="10.625" style="1" customWidth="1"/>
    <col min="6" max="6" width="10.625" style="1" hidden="1" customWidth="1"/>
    <col min="7" max="7" width="13.875" style="1" bestFit="1" customWidth="1"/>
    <col min="8" max="8" width="10.625" style="1" customWidth="1"/>
    <col min="9" max="9" width="13.875" style="1" bestFit="1" customWidth="1"/>
    <col min="10" max="10" width="10.625" style="1" customWidth="1"/>
    <col min="11" max="11" width="13.875" style="1" bestFit="1" customWidth="1"/>
    <col min="12" max="12" width="10.625" style="1" customWidth="1"/>
    <col min="13" max="13" width="13.875" style="1" bestFit="1" customWidth="1"/>
    <col min="14" max="14" width="10.625" style="1" customWidth="1"/>
    <col min="15" max="15" width="13.875" style="1" bestFit="1" customWidth="1"/>
    <col min="16" max="16" width="10.625" style="1" customWidth="1"/>
    <col min="17" max="17" width="13.875" style="1" bestFit="1" customWidth="1"/>
    <col min="18" max="18" width="10.625" style="1" customWidth="1"/>
    <col min="19" max="19" width="13.875" style="1" hidden="1" customWidth="1"/>
    <col min="20" max="20" width="10.625" style="1" hidden="1" customWidth="1"/>
    <col min="21" max="21" width="13.875" style="1" hidden="1" customWidth="1"/>
    <col min="22" max="22" width="10.625" style="1" hidden="1" customWidth="1"/>
    <col min="23" max="23" width="13.875" style="1" hidden="1" customWidth="1"/>
    <col min="24" max="24" width="9.875" style="1" hidden="1" customWidth="1"/>
    <col min="25" max="28" width="15.625" style="1" customWidth="1"/>
    <col min="29" max="30" width="13" style="1" customWidth="1"/>
    <col min="31" max="31" width="13" style="99" customWidth="1"/>
    <col min="32" max="16384" width="9" style="1"/>
  </cols>
  <sheetData>
    <row r="1" spans="1:31" ht="14.25" customHeight="1">
      <c r="A1" s="1" t="s">
        <v>102</v>
      </c>
    </row>
    <row r="2" spans="1:31" ht="14.25" customHeight="1" thickBot="1">
      <c r="A2" s="1" t="s">
        <v>103</v>
      </c>
      <c r="D2" s="2"/>
      <c r="G2" s="2"/>
      <c r="I2" s="2"/>
      <c r="K2" s="2"/>
      <c r="M2" s="2"/>
      <c r="O2" s="2"/>
      <c r="Q2" s="2"/>
      <c r="S2" s="2"/>
      <c r="U2" s="2"/>
      <c r="Y2" s="61"/>
    </row>
    <row r="3" spans="1:31" s="4" customFormat="1" ht="14.25" customHeight="1">
      <c r="A3" s="805" t="s">
        <v>14</v>
      </c>
      <c r="B3" s="806"/>
      <c r="C3" s="807"/>
      <c r="D3" s="7" t="s">
        <v>297</v>
      </c>
      <c r="E3" s="8" t="s">
        <v>15</v>
      </c>
      <c r="F3" s="8"/>
      <c r="G3" s="7" t="s">
        <v>245</v>
      </c>
      <c r="H3" s="8" t="s">
        <v>15</v>
      </c>
      <c r="I3" s="7" t="s">
        <v>224</v>
      </c>
      <c r="J3" s="8" t="s">
        <v>15</v>
      </c>
      <c r="K3" s="7" t="s">
        <v>218</v>
      </c>
      <c r="L3" s="8" t="s">
        <v>202</v>
      </c>
      <c r="M3" s="7" t="s">
        <v>198</v>
      </c>
      <c r="N3" s="8" t="s">
        <v>202</v>
      </c>
      <c r="O3" s="7" t="s">
        <v>219</v>
      </c>
      <c r="P3" s="8" t="s">
        <v>202</v>
      </c>
      <c r="Q3" s="7" t="s">
        <v>220</v>
      </c>
      <c r="R3" s="8" t="s">
        <v>202</v>
      </c>
      <c r="S3" s="7" t="s">
        <v>221</v>
      </c>
      <c r="T3" s="8" t="s">
        <v>202</v>
      </c>
      <c r="U3" s="7" t="s">
        <v>222</v>
      </c>
      <c r="V3" s="8" t="s">
        <v>202</v>
      </c>
      <c r="W3" s="7" t="s">
        <v>223</v>
      </c>
      <c r="X3" s="8" t="s">
        <v>202</v>
      </c>
      <c r="Y3" s="107"/>
      <c r="Z3" s="108"/>
      <c r="AA3" s="108"/>
      <c r="AE3" s="100"/>
    </row>
    <row r="4" spans="1:31" s="4" customFormat="1" ht="14.25" customHeight="1">
      <c r="A4" s="820" t="s">
        <v>18</v>
      </c>
      <c r="B4" s="821"/>
      <c r="C4" s="822"/>
      <c r="D4" s="11">
        <f>歳入款別!$C$5</f>
        <v>47149000</v>
      </c>
      <c r="E4" s="94">
        <f>歳入款別!$G$5</f>
        <v>40.800000000000004</v>
      </c>
      <c r="F4" s="460"/>
      <c r="G4" s="11">
        <v>48244000</v>
      </c>
      <c r="H4" s="94">
        <v>43.2</v>
      </c>
      <c r="I4" s="11">
        <v>46428000</v>
      </c>
      <c r="J4" s="94">
        <v>43.8</v>
      </c>
      <c r="K4" s="11">
        <v>44340000</v>
      </c>
      <c r="L4" s="94">
        <v>43</v>
      </c>
      <c r="M4" s="9">
        <v>46844000</v>
      </c>
      <c r="N4" s="94">
        <v>44.4</v>
      </c>
      <c r="O4" s="9">
        <v>46807000</v>
      </c>
      <c r="P4" s="94">
        <v>47.6</v>
      </c>
      <c r="Q4" s="9">
        <v>46086000</v>
      </c>
      <c r="R4" s="94">
        <v>50.8</v>
      </c>
      <c r="S4" s="9">
        <v>45288000</v>
      </c>
      <c r="T4" s="94">
        <v>51.2</v>
      </c>
      <c r="U4" s="9">
        <v>44761000</v>
      </c>
      <c r="V4" s="10">
        <v>49.8</v>
      </c>
      <c r="W4" s="9">
        <v>45057000</v>
      </c>
      <c r="X4" s="10">
        <v>52.3</v>
      </c>
      <c r="Y4" s="109"/>
      <c r="Z4" s="104"/>
      <c r="AA4" s="104"/>
      <c r="AE4" s="100"/>
    </row>
    <row r="5" spans="1:31" s="4" customFormat="1" ht="14.25" customHeight="1">
      <c r="A5" s="812" t="s">
        <v>26</v>
      </c>
      <c r="B5" s="808"/>
      <c r="C5" s="813"/>
      <c r="D5" s="11">
        <f>歳入款別!$C$18</f>
        <v>20868640</v>
      </c>
      <c r="E5" s="95">
        <f>歳入款別!$G$18</f>
        <v>18</v>
      </c>
      <c r="F5" s="95"/>
      <c r="G5" s="11">
        <v>20504780</v>
      </c>
      <c r="H5" s="95">
        <v>18.3</v>
      </c>
      <c r="I5" s="11">
        <v>20772010</v>
      </c>
      <c r="J5" s="95">
        <v>19.600000000000001</v>
      </c>
      <c r="K5" s="11">
        <v>20431860</v>
      </c>
      <c r="L5" s="95">
        <v>19.8</v>
      </c>
      <c r="M5" s="11">
        <v>17949905</v>
      </c>
      <c r="N5" s="95">
        <v>17</v>
      </c>
      <c r="O5" s="11">
        <v>16687885</v>
      </c>
      <c r="P5" s="95">
        <v>17</v>
      </c>
      <c r="Q5" s="11">
        <v>15468615</v>
      </c>
      <c r="R5" s="95">
        <v>16.5</v>
      </c>
      <c r="S5" s="11">
        <v>14449580</v>
      </c>
      <c r="T5" s="95">
        <v>16.3</v>
      </c>
      <c r="U5" s="11">
        <v>13680380</v>
      </c>
      <c r="V5" s="12">
        <v>15.2</v>
      </c>
      <c r="W5" s="11">
        <v>13082480</v>
      </c>
      <c r="X5" s="12">
        <v>15.2</v>
      </c>
      <c r="Y5" s="109"/>
      <c r="Z5" s="104"/>
      <c r="AA5" s="104"/>
      <c r="AE5" s="100"/>
    </row>
    <row r="6" spans="1:31" s="4" customFormat="1" ht="14.25" customHeight="1">
      <c r="A6" s="812" t="s">
        <v>52</v>
      </c>
      <c r="B6" s="808"/>
      <c r="C6" s="813"/>
      <c r="D6" s="11">
        <f>歳入款別!$C$25</f>
        <v>9210400</v>
      </c>
      <c r="E6" s="95">
        <f>歳入款別!$G$25</f>
        <v>8</v>
      </c>
      <c r="F6" s="95"/>
      <c r="G6" s="11">
        <v>8163800</v>
      </c>
      <c r="H6" s="95">
        <v>7.3</v>
      </c>
      <c r="I6" s="11">
        <v>8222400</v>
      </c>
      <c r="J6" s="95">
        <v>7.7</v>
      </c>
      <c r="K6" s="11">
        <v>8485400</v>
      </c>
      <c r="L6" s="95">
        <v>8.1999999999999993</v>
      </c>
      <c r="M6" s="11">
        <v>11914300</v>
      </c>
      <c r="N6" s="95">
        <v>11.299999999999999</v>
      </c>
      <c r="O6" s="11">
        <v>7885700</v>
      </c>
      <c r="P6" s="95">
        <v>8</v>
      </c>
      <c r="Q6" s="11">
        <v>5657400</v>
      </c>
      <c r="R6" s="95">
        <v>7.3</v>
      </c>
      <c r="S6" s="11">
        <v>6312800</v>
      </c>
      <c r="T6" s="95">
        <v>7.1</v>
      </c>
      <c r="U6" s="11">
        <v>6462800</v>
      </c>
      <c r="V6" s="12">
        <v>7.2</v>
      </c>
      <c r="W6" s="11">
        <v>7144200</v>
      </c>
      <c r="X6" s="12">
        <v>8.3000000000000007</v>
      </c>
      <c r="Y6" s="109"/>
      <c r="Z6" s="104"/>
      <c r="AA6" s="104"/>
      <c r="AE6" s="100"/>
    </row>
    <row r="7" spans="1:31" s="4" customFormat="1" ht="14.25" customHeight="1">
      <c r="A7" s="828" t="s">
        <v>20</v>
      </c>
      <c r="B7" s="808"/>
      <c r="C7" s="795"/>
      <c r="D7" s="11">
        <f>歳入款別!$C$11</f>
        <v>7700000</v>
      </c>
      <c r="E7" s="95">
        <f>歳入款別!$G$11</f>
        <v>6.6999999999999993</v>
      </c>
      <c r="F7" s="95"/>
      <c r="G7" s="11">
        <v>7800000</v>
      </c>
      <c r="H7" s="95">
        <v>7</v>
      </c>
      <c r="I7" s="11">
        <v>7200000</v>
      </c>
      <c r="J7" s="95">
        <v>6.8</v>
      </c>
      <c r="K7" s="11">
        <v>6900000</v>
      </c>
      <c r="L7" s="95">
        <v>6.6999999999999993</v>
      </c>
      <c r="M7" s="11">
        <v>7000000</v>
      </c>
      <c r="N7" s="95">
        <v>6.6</v>
      </c>
      <c r="O7" s="11">
        <v>5500000</v>
      </c>
      <c r="P7" s="95">
        <v>5.6</v>
      </c>
      <c r="Q7" s="11">
        <v>5200000</v>
      </c>
      <c r="R7" s="95">
        <v>5.0999999999999996</v>
      </c>
      <c r="S7" s="11">
        <v>4600000</v>
      </c>
      <c r="T7" s="95">
        <v>5.2</v>
      </c>
      <c r="U7" s="11">
        <v>4300000</v>
      </c>
      <c r="V7" s="12">
        <v>4.8</v>
      </c>
      <c r="W7" s="11">
        <v>3200000</v>
      </c>
      <c r="X7" s="12">
        <v>3.7</v>
      </c>
      <c r="Y7" s="109"/>
      <c r="Z7" s="104"/>
      <c r="AA7" s="104"/>
      <c r="AE7" s="100"/>
    </row>
    <row r="8" spans="1:31" s="4" customFormat="1" ht="14.25" customHeight="1">
      <c r="A8" s="812" t="s">
        <v>27</v>
      </c>
      <c r="B8" s="808"/>
      <c r="C8" s="813"/>
      <c r="D8" s="152">
        <f>歳入款別!$C$19</f>
        <v>7607370</v>
      </c>
      <c r="E8" s="153">
        <f>歳入款別!$G$19</f>
        <v>6.6</v>
      </c>
      <c r="F8" s="153"/>
      <c r="G8" s="152">
        <v>7394680</v>
      </c>
      <c r="H8" s="153">
        <v>6.6</v>
      </c>
      <c r="I8" s="152">
        <v>7495660</v>
      </c>
      <c r="J8" s="153">
        <v>7.1</v>
      </c>
      <c r="K8" s="152">
        <v>7264030</v>
      </c>
      <c r="L8" s="153">
        <v>7</v>
      </c>
      <c r="M8" s="152">
        <v>6652660</v>
      </c>
      <c r="N8" s="153">
        <v>6.3</v>
      </c>
      <c r="O8" s="152">
        <v>5990120</v>
      </c>
      <c r="P8" s="153">
        <v>6.1</v>
      </c>
      <c r="Q8" s="152">
        <v>5444060</v>
      </c>
      <c r="R8" s="153">
        <v>5.6</v>
      </c>
      <c r="S8" s="152">
        <v>4984450</v>
      </c>
      <c r="T8" s="153">
        <v>5.6</v>
      </c>
      <c r="U8" s="152">
        <v>5260350</v>
      </c>
      <c r="V8" s="154">
        <v>5.8</v>
      </c>
      <c r="W8" s="152">
        <v>5064960</v>
      </c>
      <c r="X8" s="154">
        <v>5.9</v>
      </c>
      <c r="Y8" s="109"/>
      <c r="Z8" s="104"/>
      <c r="AA8" s="104"/>
      <c r="AE8" s="100"/>
    </row>
    <row r="9" spans="1:31" s="4" customFormat="1" ht="14.25" customHeight="1">
      <c r="A9" s="829" t="s">
        <v>49</v>
      </c>
      <c r="B9" s="830"/>
      <c r="C9" s="831"/>
      <c r="D9" s="46">
        <f>歳入款別!$C$22</f>
        <v>7138910</v>
      </c>
      <c r="E9" s="155">
        <f>歳入款別!$G$22</f>
        <v>6.1999999999999993</v>
      </c>
      <c r="F9" s="155"/>
      <c r="G9" s="46">
        <v>6942710</v>
      </c>
      <c r="H9" s="155">
        <v>6.2</v>
      </c>
      <c r="I9" s="46">
        <v>3885371</v>
      </c>
      <c r="J9" s="155">
        <v>3.7</v>
      </c>
      <c r="K9" s="46">
        <v>4161266</v>
      </c>
      <c r="L9" s="155">
        <v>4</v>
      </c>
      <c r="M9" s="46">
        <v>4011910</v>
      </c>
      <c r="N9" s="155">
        <v>3.8000000000000003</v>
      </c>
      <c r="O9" s="46">
        <v>3194461</v>
      </c>
      <c r="P9" s="155">
        <v>3.2</v>
      </c>
      <c r="Q9" s="46">
        <v>2717320</v>
      </c>
      <c r="R9" s="155">
        <v>2.6</v>
      </c>
      <c r="S9" s="46">
        <v>1603000</v>
      </c>
      <c r="T9" s="155">
        <v>1.8</v>
      </c>
      <c r="U9" s="46">
        <v>1600000</v>
      </c>
      <c r="V9" s="12">
        <v>1.8</v>
      </c>
      <c r="W9" s="46">
        <v>2000012</v>
      </c>
      <c r="X9" s="156">
        <v>2.2999999999999998</v>
      </c>
      <c r="Y9" s="110"/>
      <c r="Z9" s="111"/>
      <c r="AA9" s="111"/>
      <c r="AE9" s="100"/>
    </row>
    <row r="10" spans="1:31" s="4" customFormat="1" ht="14.25" customHeight="1">
      <c r="A10" s="812" t="s">
        <v>23</v>
      </c>
      <c r="B10" s="808"/>
      <c r="C10" s="813"/>
      <c r="D10" s="11">
        <f>歳入款別!$C$14</f>
        <v>5900000</v>
      </c>
      <c r="E10" s="95">
        <f>歳入款別!$G$14</f>
        <v>5.0999999999999996</v>
      </c>
      <c r="F10" s="95"/>
      <c r="G10" s="11">
        <v>4200000</v>
      </c>
      <c r="H10" s="95">
        <v>3.8000000000000003</v>
      </c>
      <c r="I10" s="11">
        <v>3900000</v>
      </c>
      <c r="J10" s="95">
        <v>3.7</v>
      </c>
      <c r="K10" s="11">
        <v>3700000</v>
      </c>
      <c r="L10" s="95">
        <v>3.6</v>
      </c>
      <c r="M10" s="11">
        <v>2900000</v>
      </c>
      <c r="N10" s="95">
        <v>2.7</v>
      </c>
      <c r="O10" s="11">
        <v>3000000</v>
      </c>
      <c r="P10" s="95">
        <v>3.1</v>
      </c>
      <c r="Q10" s="11">
        <v>2870000</v>
      </c>
      <c r="R10" s="95">
        <v>3.3</v>
      </c>
      <c r="S10" s="11">
        <v>3250000</v>
      </c>
      <c r="T10" s="95">
        <v>3.7</v>
      </c>
      <c r="U10" s="11">
        <v>3600000</v>
      </c>
      <c r="V10" s="12">
        <v>4</v>
      </c>
      <c r="W10" s="11">
        <v>3350000</v>
      </c>
      <c r="X10" s="12">
        <v>3.9</v>
      </c>
      <c r="Y10" s="109"/>
      <c r="Z10" s="104"/>
      <c r="AA10" s="104"/>
      <c r="AE10" s="100"/>
    </row>
    <row r="11" spans="1:31" s="4" customFormat="1" ht="14.25" customHeight="1">
      <c r="A11" s="826" t="s">
        <v>173</v>
      </c>
      <c r="B11" s="815"/>
      <c r="C11" s="827"/>
      <c r="D11" s="11">
        <f>歳入款別!$C$24</f>
        <v>3016865</v>
      </c>
      <c r="E11" s="95">
        <f>歳入款別!$G$24</f>
        <v>2.6</v>
      </c>
      <c r="F11" s="95"/>
      <c r="G11" s="11">
        <v>3201055</v>
      </c>
      <c r="H11" s="95">
        <v>2.9</v>
      </c>
      <c r="I11" s="11">
        <v>3007054</v>
      </c>
      <c r="J11" s="95">
        <v>2.8</v>
      </c>
      <c r="K11" s="11">
        <v>2957089</v>
      </c>
      <c r="L11" s="95">
        <v>2.9</v>
      </c>
      <c r="M11" s="11">
        <v>3059067</v>
      </c>
      <c r="N11" s="95">
        <v>2.9</v>
      </c>
      <c r="O11" s="11">
        <v>3702613</v>
      </c>
      <c r="P11" s="95">
        <v>3.8</v>
      </c>
      <c r="Q11" s="11">
        <v>2612893</v>
      </c>
      <c r="R11" s="95">
        <v>2.9</v>
      </c>
      <c r="S11" s="11">
        <v>2616740</v>
      </c>
      <c r="T11" s="95">
        <v>3</v>
      </c>
      <c r="U11" s="11">
        <v>5373946</v>
      </c>
      <c r="V11" s="12">
        <v>6</v>
      </c>
      <c r="W11" s="11">
        <v>2628010</v>
      </c>
      <c r="X11" s="12">
        <v>3</v>
      </c>
      <c r="Y11" s="109"/>
      <c r="Z11" s="104"/>
      <c r="AA11" s="104"/>
      <c r="AE11" s="100"/>
    </row>
    <row r="12" spans="1:31" s="4" customFormat="1" ht="14.25" customHeight="1">
      <c r="A12" s="814" t="s">
        <v>74</v>
      </c>
      <c r="B12" s="815"/>
      <c r="C12" s="816"/>
      <c r="D12" s="13">
        <f>SUM(D13:D26)</f>
        <v>7108815</v>
      </c>
      <c r="E12" s="92">
        <f>SUM(E13:E26)</f>
        <v>6</v>
      </c>
      <c r="F12" s="92"/>
      <c r="G12" s="13">
        <v>5348975</v>
      </c>
      <c r="H12" s="92">
        <v>4.7</v>
      </c>
      <c r="I12" s="13">
        <v>5089505</v>
      </c>
      <c r="J12" s="92">
        <v>4.8</v>
      </c>
      <c r="K12" s="13">
        <v>4960355</v>
      </c>
      <c r="L12" s="92">
        <v>4.8</v>
      </c>
      <c r="M12" s="13">
        <v>5268158</v>
      </c>
      <c r="N12" s="92">
        <v>5</v>
      </c>
      <c r="O12" s="13">
        <v>5532221</v>
      </c>
      <c r="P12" s="92">
        <v>6.9999999999999991</v>
      </c>
      <c r="Q12" s="13">
        <v>6428960</v>
      </c>
      <c r="R12" s="92">
        <v>6.6</v>
      </c>
      <c r="S12" s="13">
        <v>6051140</v>
      </c>
      <c r="T12" s="92">
        <v>6.9</v>
      </c>
      <c r="U12" s="13">
        <v>5740229</v>
      </c>
      <c r="V12" s="92">
        <v>6.3999999999999995</v>
      </c>
      <c r="W12" s="13">
        <v>5432175</v>
      </c>
      <c r="X12" s="14">
        <v>6.299999999999998</v>
      </c>
      <c r="Y12" s="109"/>
      <c r="Z12" s="104"/>
      <c r="AA12" s="104"/>
      <c r="AE12" s="100"/>
    </row>
    <row r="13" spans="1:31" s="4" customFormat="1" ht="14.25" customHeight="1">
      <c r="A13" s="463"/>
      <c r="B13" s="464"/>
      <c r="C13" s="465" t="s">
        <v>22</v>
      </c>
      <c r="D13" s="11">
        <f>歳入款別!$C$13</f>
        <v>1990000</v>
      </c>
      <c r="E13" s="95">
        <f>歳入款別!$G$13</f>
        <v>1.7</v>
      </c>
      <c r="F13" s="95"/>
      <c r="G13" s="11">
        <v>440000</v>
      </c>
      <c r="H13" s="95">
        <v>0.4</v>
      </c>
      <c r="I13" s="11">
        <v>380000</v>
      </c>
      <c r="J13" s="95">
        <v>0.4</v>
      </c>
      <c r="K13" s="11">
        <v>430000</v>
      </c>
      <c r="L13" s="95">
        <v>0.4</v>
      </c>
      <c r="M13" s="11">
        <v>430000</v>
      </c>
      <c r="N13" s="95">
        <v>0.4</v>
      </c>
      <c r="O13" s="11">
        <v>320000</v>
      </c>
      <c r="P13" s="95">
        <v>0.3</v>
      </c>
      <c r="Q13" s="11">
        <v>270000</v>
      </c>
      <c r="R13" s="95">
        <v>0.3</v>
      </c>
      <c r="S13" s="11">
        <v>270000</v>
      </c>
      <c r="T13" s="95">
        <v>0.3</v>
      </c>
      <c r="U13" s="11">
        <v>270000</v>
      </c>
      <c r="V13" s="12">
        <v>0.3</v>
      </c>
      <c r="W13" s="11">
        <v>270000</v>
      </c>
      <c r="X13" s="12">
        <v>0.3</v>
      </c>
      <c r="Y13" s="109"/>
      <c r="Z13" s="104"/>
      <c r="AA13" s="104"/>
      <c r="AE13" s="100"/>
    </row>
    <row r="14" spans="1:31" s="4" customFormat="1" ht="14.25" customHeight="1">
      <c r="A14" s="18"/>
      <c r="B14" s="459"/>
      <c r="C14" s="19" t="s">
        <v>183</v>
      </c>
      <c r="D14" s="11">
        <f>歳入款別!$C$17</f>
        <v>1531925</v>
      </c>
      <c r="E14" s="95">
        <f>歳入款別!$G$17</f>
        <v>1.3</v>
      </c>
      <c r="F14" s="95"/>
      <c r="G14" s="11">
        <v>1467075</v>
      </c>
      <c r="H14" s="95">
        <v>1.3</v>
      </c>
      <c r="I14" s="11">
        <v>1465435</v>
      </c>
      <c r="J14" s="95">
        <v>1.4000000000000001</v>
      </c>
      <c r="K14" s="11">
        <v>1406735</v>
      </c>
      <c r="L14" s="95">
        <v>1.3</v>
      </c>
      <c r="M14" s="11">
        <v>1485098</v>
      </c>
      <c r="N14" s="95">
        <v>1.4</v>
      </c>
      <c r="O14" s="11">
        <v>1748921</v>
      </c>
      <c r="P14" s="95">
        <v>1.8</v>
      </c>
      <c r="Q14" s="11">
        <v>1732072</v>
      </c>
      <c r="R14" s="95">
        <v>1.9</v>
      </c>
      <c r="S14" s="11">
        <v>1727669</v>
      </c>
      <c r="T14" s="95">
        <v>2</v>
      </c>
      <c r="U14" s="11">
        <v>1727338</v>
      </c>
      <c r="V14" s="12">
        <v>1.9</v>
      </c>
      <c r="W14" s="11">
        <v>935003</v>
      </c>
      <c r="X14" s="12">
        <v>1.1000000000000001</v>
      </c>
      <c r="Y14" s="109"/>
      <c r="Z14" s="104"/>
      <c r="AA14" s="104"/>
      <c r="AE14" s="100"/>
    </row>
    <row r="15" spans="1:31" s="4" customFormat="1" ht="14.25" customHeight="1">
      <c r="A15" s="15"/>
      <c r="B15" s="16"/>
      <c r="C15" s="91" t="s">
        <v>50</v>
      </c>
      <c r="D15" s="11">
        <f>歳入款別!$C$23</f>
        <v>1000000</v>
      </c>
      <c r="E15" s="95">
        <f>歳入款別!$G$23</f>
        <v>0.9</v>
      </c>
      <c r="F15" s="95"/>
      <c r="G15" s="11">
        <v>1000000</v>
      </c>
      <c r="H15" s="95">
        <v>0.9</v>
      </c>
      <c r="I15" s="11">
        <v>1000000</v>
      </c>
      <c r="J15" s="95">
        <v>0.9</v>
      </c>
      <c r="K15" s="11">
        <v>1000000</v>
      </c>
      <c r="L15" s="95">
        <v>1</v>
      </c>
      <c r="M15" s="11">
        <v>1000000</v>
      </c>
      <c r="N15" s="95">
        <v>1</v>
      </c>
      <c r="O15" s="11">
        <v>1000000</v>
      </c>
      <c r="P15" s="95">
        <v>1</v>
      </c>
      <c r="Q15" s="11">
        <v>1000000</v>
      </c>
      <c r="R15" s="95">
        <v>1.1000000000000001</v>
      </c>
      <c r="S15" s="11">
        <v>1000000</v>
      </c>
      <c r="T15" s="95">
        <v>1.1000000000000001</v>
      </c>
      <c r="U15" s="11">
        <v>1000000</v>
      </c>
      <c r="V15" s="12">
        <v>1.1000000000000001</v>
      </c>
      <c r="W15" s="11">
        <v>1000000</v>
      </c>
      <c r="X15" s="12">
        <v>1.2</v>
      </c>
      <c r="Y15" s="109"/>
      <c r="Z15" s="104"/>
      <c r="AA15" s="104"/>
      <c r="AE15" s="100"/>
    </row>
    <row r="16" spans="1:31" s="4" customFormat="1" ht="14.25" customHeight="1">
      <c r="A16" s="17"/>
      <c r="B16" s="18"/>
      <c r="C16" s="19" t="s">
        <v>47</v>
      </c>
      <c r="D16" s="11">
        <f>歳入款別!$C$6</f>
        <v>717000</v>
      </c>
      <c r="E16" s="95">
        <f>歳入款別!$G$6</f>
        <v>0.6</v>
      </c>
      <c r="F16" s="95"/>
      <c r="G16" s="11">
        <v>716000</v>
      </c>
      <c r="H16" s="95">
        <v>0.6</v>
      </c>
      <c r="I16" s="11">
        <v>716000</v>
      </c>
      <c r="J16" s="95">
        <v>0.7</v>
      </c>
      <c r="K16" s="11">
        <v>697000</v>
      </c>
      <c r="L16" s="95">
        <v>0.7</v>
      </c>
      <c r="M16" s="11">
        <v>717000</v>
      </c>
      <c r="N16" s="95">
        <v>0.7</v>
      </c>
      <c r="O16" s="11">
        <v>690000</v>
      </c>
      <c r="P16" s="95">
        <v>0.7</v>
      </c>
      <c r="Q16" s="11">
        <v>690000</v>
      </c>
      <c r="R16" s="95">
        <v>0.7</v>
      </c>
      <c r="S16" s="11">
        <v>660000</v>
      </c>
      <c r="T16" s="95">
        <v>0.7</v>
      </c>
      <c r="U16" s="11">
        <v>670000</v>
      </c>
      <c r="V16" s="12">
        <v>0.7</v>
      </c>
      <c r="W16" s="11">
        <v>730000</v>
      </c>
      <c r="X16" s="12">
        <v>0.8</v>
      </c>
      <c r="Y16" s="109"/>
      <c r="Z16" s="104"/>
      <c r="AA16" s="104"/>
      <c r="AE16" s="100"/>
    </row>
    <row r="17" spans="1:32" s="4" customFormat="1" ht="14.25" customHeight="1">
      <c r="A17" s="17"/>
      <c r="B17" s="18"/>
      <c r="C17" s="19" t="s">
        <v>184</v>
      </c>
      <c r="D17" s="11">
        <f>歳入款別!$C$16</f>
        <v>532880</v>
      </c>
      <c r="E17" s="95">
        <f>歳入款別!$G$16</f>
        <v>0.5</v>
      </c>
      <c r="F17" s="95"/>
      <c r="G17" s="11">
        <v>495280</v>
      </c>
      <c r="H17" s="95">
        <v>0.4</v>
      </c>
      <c r="I17" s="11">
        <v>469750</v>
      </c>
      <c r="J17" s="95">
        <v>0.4</v>
      </c>
      <c r="K17" s="11">
        <v>507060</v>
      </c>
      <c r="L17" s="95">
        <v>0.5</v>
      </c>
      <c r="M17" s="11">
        <v>697770</v>
      </c>
      <c r="N17" s="95">
        <v>0.7</v>
      </c>
      <c r="O17" s="11">
        <v>974290</v>
      </c>
      <c r="P17" s="95">
        <v>1</v>
      </c>
      <c r="Q17" s="11">
        <v>1005010</v>
      </c>
      <c r="R17" s="95">
        <v>1</v>
      </c>
      <c r="S17" s="11">
        <v>847290</v>
      </c>
      <c r="T17" s="95">
        <v>1</v>
      </c>
      <c r="U17" s="11">
        <v>721295</v>
      </c>
      <c r="V17" s="12">
        <v>0.8</v>
      </c>
      <c r="W17" s="11">
        <v>1241175</v>
      </c>
      <c r="X17" s="12">
        <v>1.4</v>
      </c>
      <c r="Y17" s="109"/>
      <c r="Z17" s="104"/>
      <c r="AA17" s="104"/>
      <c r="AE17" s="100"/>
    </row>
    <row r="18" spans="1:32" s="4" customFormat="1" ht="14.25" customHeight="1">
      <c r="A18" s="17"/>
      <c r="B18" s="18"/>
      <c r="C18" s="19" t="s">
        <v>197</v>
      </c>
      <c r="D18" s="11">
        <f>歳入款別!$C$10</f>
        <v>500000</v>
      </c>
      <c r="E18" s="95">
        <f>歳入款別!$G$10</f>
        <v>0.4</v>
      </c>
      <c r="F18" s="95"/>
      <c r="G18" s="11">
        <v>500000</v>
      </c>
      <c r="H18" s="95">
        <v>0.5</v>
      </c>
      <c r="I18" s="11">
        <v>380000</v>
      </c>
      <c r="J18" s="95">
        <v>0.4</v>
      </c>
      <c r="K18" s="11">
        <v>300000</v>
      </c>
      <c r="L18" s="147">
        <v>0.30000000000000004</v>
      </c>
      <c r="M18" s="142">
        <v>260000</v>
      </c>
      <c r="N18" s="143">
        <v>0.2</v>
      </c>
      <c r="O18" s="142"/>
      <c r="P18" s="143"/>
      <c r="Q18" s="142"/>
      <c r="R18" s="143"/>
      <c r="S18" s="142"/>
      <c r="T18" s="143"/>
      <c r="U18" s="142"/>
      <c r="V18" s="144"/>
      <c r="W18" s="142"/>
      <c r="X18" s="144"/>
      <c r="Y18" s="109"/>
      <c r="Z18" s="104"/>
      <c r="AA18" s="104"/>
      <c r="AE18" s="100"/>
    </row>
    <row r="19" spans="1:32" s="4" customFormat="1" ht="14.25" customHeight="1">
      <c r="A19" s="17"/>
      <c r="B19" s="18"/>
      <c r="C19" s="19" t="s">
        <v>83</v>
      </c>
      <c r="D19" s="11">
        <f>歳入款別!$C$8</f>
        <v>250000</v>
      </c>
      <c r="E19" s="95">
        <f>歳入款別!$G$8</f>
        <v>0.2</v>
      </c>
      <c r="F19" s="95"/>
      <c r="G19" s="11">
        <v>250000</v>
      </c>
      <c r="H19" s="95">
        <v>0.2</v>
      </c>
      <c r="I19" s="11">
        <v>200000</v>
      </c>
      <c r="J19" s="95">
        <v>0.2</v>
      </c>
      <c r="K19" s="11">
        <v>190000</v>
      </c>
      <c r="L19" s="95">
        <v>0.2</v>
      </c>
      <c r="M19" s="11">
        <v>200000</v>
      </c>
      <c r="N19" s="95">
        <v>0.2</v>
      </c>
      <c r="O19" s="11">
        <v>230000</v>
      </c>
      <c r="P19" s="95">
        <v>0.2</v>
      </c>
      <c r="Q19" s="11">
        <v>200000</v>
      </c>
      <c r="R19" s="95">
        <v>0.2</v>
      </c>
      <c r="S19" s="11">
        <v>200000</v>
      </c>
      <c r="T19" s="95">
        <v>0.2</v>
      </c>
      <c r="U19" s="11">
        <v>70000</v>
      </c>
      <c r="V19" s="12">
        <v>0.1</v>
      </c>
      <c r="W19" s="11">
        <v>50000</v>
      </c>
      <c r="X19" s="12">
        <v>0.1</v>
      </c>
      <c r="Y19" s="109"/>
      <c r="Z19" s="104"/>
      <c r="AA19" s="104"/>
      <c r="AE19" s="100"/>
    </row>
    <row r="20" spans="1:32" s="4" customFormat="1" ht="14.25" customHeight="1">
      <c r="A20" s="17"/>
      <c r="B20" s="18"/>
      <c r="C20" s="20" t="s">
        <v>84</v>
      </c>
      <c r="D20" s="11">
        <f>歳入款別!$C$9</f>
        <v>200000</v>
      </c>
      <c r="E20" s="95">
        <f>歳入款別!$G$9</f>
        <v>0.2</v>
      </c>
      <c r="F20" s="95"/>
      <c r="G20" s="11">
        <v>200000</v>
      </c>
      <c r="H20" s="95">
        <v>0.2</v>
      </c>
      <c r="I20" s="11">
        <v>200000</v>
      </c>
      <c r="J20" s="95">
        <v>0.2</v>
      </c>
      <c r="K20" s="11">
        <v>200000</v>
      </c>
      <c r="L20" s="95">
        <v>0.2</v>
      </c>
      <c r="M20" s="11">
        <v>200000</v>
      </c>
      <c r="N20" s="95">
        <v>0.2</v>
      </c>
      <c r="O20" s="11">
        <v>200000</v>
      </c>
      <c r="P20" s="95">
        <v>0.2</v>
      </c>
      <c r="Q20" s="11">
        <v>150000</v>
      </c>
      <c r="R20" s="95">
        <v>0.2</v>
      </c>
      <c r="S20" s="11">
        <v>150000</v>
      </c>
      <c r="T20" s="95">
        <v>0.2</v>
      </c>
      <c r="U20" s="11">
        <v>50000</v>
      </c>
      <c r="V20" s="12">
        <v>0.1</v>
      </c>
      <c r="W20" s="11">
        <v>30000</v>
      </c>
      <c r="X20" s="12">
        <v>0</v>
      </c>
      <c r="Y20" s="109"/>
    </row>
    <row r="21" spans="1:32" s="4" customFormat="1" ht="14.25" customHeight="1">
      <c r="A21" s="17"/>
      <c r="B21" s="18"/>
      <c r="C21" s="19" t="s">
        <v>21</v>
      </c>
      <c r="D21" s="142"/>
      <c r="E21" s="143"/>
      <c r="F21" s="143"/>
      <c r="G21" s="142"/>
      <c r="H21" s="143"/>
      <c r="I21" s="142"/>
      <c r="J21" s="143"/>
      <c r="K21" s="142"/>
      <c r="L21" s="143"/>
      <c r="M21" s="11"/>
      <c r="N21" s="95"/>
      <c r="O21" s="11">
        <v>130000</v>
      </c>
      <c r="P21" s="95">
        <v>0.1</v>
      </c>
      <c r="Q21" s="11">
        <v>220000</v>
      </c>
      <c r="R21" s="95">
        <v>0.2</v>
      </c>
      <c r="S21" s="11">
        <v>180010</v>
      </c>
      <c r="T21" s="95">
        <v>0.2</v>
      </c>
      <c r="U21" s="11">
        <v>150010</v>
      </c>
      <c r="V21" s="12">
        <v>0.2</v>
      </c>
      <c r="W21" s="11">
        <v>180010</v>
      </c>
      <c r="X21" s="12">
        <v>0.2</v>
      </c>
      <c r="Y21" s="109"/>
      <c r="Z21" s="104"/>
      <c r="AA21" s="104"/>
      <c r="AE21" s="100"/>
    </row>
    <row r="22" spans="1:32" s="4" customFormat="1" ht="14.25" customHeight="1">
      <c r="A22" s="17"/>
      <c r="B22" s="18"/>
      <c r="C22" s="19" t="s">
        <v>191</v>
      </c>
      <c r="D22" s="11">
        <f>歳入款別!$C$12</f>
        <v>170000</v>
      </c>
      <c r="E22" s="95">
        <f>歳入款別!$G$12</f>
        <v>0.1</v>
      </c>
      <c r="F22" s="95"/>
      <c r="G22" s="11">
        <v>120000</v>
      </c>
      <c r="H22" s="95">
        <v>0.1</v>
      </c>
      <c r="I22" s="11">
        <v>120000</v>
      </c>
      <c r="J22" s="95">
        <v>0.1</v>
      </c>
      <c r="K22" s="11">
        <v>90000</v>
      </c>
      <c r="L22" s="147">
        <v>0.1</v>
      </c>
      <c r="M22" s="72">
        <v>130000</v>
      </c>
      <c r="N22" s="147">
        <v>0.1</v>
      </c>
      <c r="O22" s="142">
        <v>60000</v>
      </c>
      <c r="P22" s="143">
        <v>0.1</v>
      </c>
      <c r="Q22" s="142"/>
      <c r="R22" s="143"/>
      <c r="S22" s="142"/>
      <c r="T22" s="143"/>
      <c r="U22" s="142"/>
      <c r="V22" s="144"/>
      <c r="W22" s="142"/>
      <c r="X22" s="144"/>
      <c r="Y22" s="109"/>
      <c r="Z22" s="104"/>
      <c r="AA22" s="104"/>
      <c r="AE22" s="100"/>
    </row>
    <row r="23" spans="1:32" s="4" customFormat="1" ht="14.25" customHeight="1">
      <c r="A23" s="17"/>
      <c r="B23" s="18"/>
      <c r="C23" s="19" t="s">
        <v>28</v>
      </c>
      <c r="D23" s="11">
        <f>歳入款別!$C$20</f>
        <v>103010</v>
      </c>
      <c r="E23" s="95">
        <f>歳入款別!$G$20</f>
        <v>0.1</v>
      </c>
      <c r="F23" s="95"/>
      <c r="G23" s="11">
        <v>85610</v>
      </c>
      <c r="H23" s="95">
        <v>0.1</v>
      </c>
      <c r="I23" s="11">
        <v>81610</v>
      </c>
      <c r="J23" s="95">
        <v>0.1</v>
      </c>
      <c r="K23" s="11">
        <v>66550</v>
      </c>
      <c r="L23" s="95">
        <v>0.1</v>
      </c>
      <c r="M23" s="11">
        <v>66280</v>
      </c>
      <c r="N23" s="95">
        <v>0.1</v>
      </c>
      <c r="O23" s="11">
        <v>70000</v>
      </c>
      <c r="P23" s="95">
        <v>0.1</v>
      </c>
      <c r="Q23" s="11">
        <v>67620</v>
      </c>
      <c r="R23" s="95">
        <v>0.1</v>
      </c>
      <c r="S23" s="11">
        <v>130441</v>
      </c>
      <c r="T23" s="95">
        <v>0.2</v>
      </c>
      <c r="U23" s="11">
        <v>62861</v>
      </c>
      <c r="V23" s="12">
        <v>0.1</v>
      </c>
      <c r="W23" s="11">
        <v>77130</v>
      </c>
      <c r="X23" s="12">
        <v>0.1</v>
      </c>
      <c r="Y23" s="109"/>
      <c r="Z23" s="104"/>
      <c r="AA23" s="104"/>
      <c r="AE23" s="100"/>
    </row>
    <row r="24" spans="1:32" s="4" customFormat="1" ht="14.25" customHeight="1" thickBot="1">
      <c r="A24" s="17"/>
      <c r="B24" s="462"/>
      <c r="C24" s="19" t="s">
        <v>29</v>
      </c>
      <c r="D24" s="11">
        <f>歳入款別!$C$21</f>
        <v>52000</v>
      </c>
      <c r="E24" s="95">
        <f>歳入款別!$G$21</f>
        <v>0</v>
      </c>
      <c r="F24" s="95"/>
      <c r="G24" s="11">
        <v>13010</v>
      </c>
      <c r="H24" s="95">
        <v>0</v>
      </c>
      <c r="I24" s="11">
        <v>4710</v>
      </c>
      <c r="J24" s="95">
        <v>0</v>
      </c>
      <c r="K24" s="11">
        <v>1010</v>
      </c>
      <c r="L24" s="95">
        <v>0</v>
      </c>
      <c r="M24" s="11">
        <v>1010</v>
      </c>
      <c r="N24" s="95">
        <v>0</v>
      </c>
      <c r="O24" s="11">
        <v>1010</v>
      </c>
      <c r="P24" s="95">
        <v>0</v>
      </c>
      <c r="Q24" s="11">
        <v>1010</v>
      </c>
      <c r="R24" s="95">
        <v>0</v>
      </c>
      <c r="S24" s="22">
        <v>20</v>
      </c>
      <c r="T24" s="96">
        <v>0</v>
      </c>
      <c r="U24" s="22">
        <v>20</v>
      </c>
      <c r="V24" s="23">
        <v>0</v>
      </c>
      <c r="W24" s="22">
        <v>20</v>
      </c>
      <c r="X24" s="23">
        <v>0</v>
      </c>
      <c r="Y24" s="109"/>
    </row>
    <row r="25" spans="1:32" s="4" customFormat="1" ht="14.25" customHeight="1" thickTop="1">
      <c r="A25" s="17"/>
      <c r="B25" s="18"/>
      <c r="C25" s="60" t="s">
        <v>24</v>
      </c>
      <c r="D25" s="58">
        <f>歳入款別!$C$15</f>
        <v>42000</v>
      </c>
      <c r="E25" s="460">
        <f>歳入款別!$G$15</f>
        <v>0</v>
      </c>
      <c r="F25" s="460"/>
      <c r="G25" s="58">
        <v>42000</v>
      </c>
      <c r="H25" s="460">
        <v>0</v>
      </c>
      <c r="I25" s="58">
        <v>42000</v>
      </c>
      <c r="J25" s="460">
        <v>0</v>
      </c>
      <c r="K25" s="58">
        <v>42000</v>
      </c>
      <c r="L25" s="460">
        <v>0</v>
      </c>
      <c r="M25" s="58">
        <v>41000</v>
      </c>
      <c r="N25" s="460">
        <v>0</v>
      </c>
      <c r="O25" s="58">
        <v>48000</v>
      </c>
      <c r="P25" s="460">
        <v>0</v>
      </c>
      <c r="Q25" s="58">
        <v>48000</v>
      </c>
      <c r="R25" s="460">
        <v>0.1</v>
      </c>
      <c r="S25" s="11">
        <v>50000</v>
      </c>
      <c r="T25" s="95">
        <v>0.1</v>
      </c>
      <c r="U25" s="11">
        <v>50000</v>
      </c>
      <c r="V25" s="12">
        <v>0</v>
      </c>
      <c r="W25" s="11">
        <v>60000</v>
      </c>
      <c r="X25" s="12">
        <v>0.1</v>
      </c>
      <c r="Y25" s="109"/>
      <c r="Z25" s="809" t="s">
        <v>104</v>
      </c>
      <c r="AA25" s="810"/>
      <c r="AB25" s="811"/>
      <c r="AE25" s="100"/>
    </row>
    <row r="26" spans="1:32" s="4" customFormat="1" ht="14.25" customHeight="1" thickBot="1">
      <c r="A26" s="17"/>
      <c r="B26" s="18"/>
      <c r="C26" s="21" t="s">
        <v>19</v>
      </c>
      <c r="D26" s="22">
        <f>歳入款別!$C$7</f>
        <v>20000</v>
      </c>
      <c r="E26" s="96">
        <f>歳入款別!$G$7</f>
        <v>0</v>
      </c>
      <c r="F26" s="96"/>
      <c r="G26" s="22">
        <v>20000</v>
      </c>
      <c r="H26" s="96">
        <v>0</v>
      </c>
      <c r="I26" s="22">
        <v>30000</v>
      </c>
      <c r="J26" s="96">
        <v>0</v>
      </c>
      <c r="K26" s="22">
        <v>30000</v>
      </c>
      <c r="L26" s="96">
        <v>0</v>
      </c>
      <c r="M26" s="22">
        <v>40000</v>
      </c>
      <c r="N26" s="96">
        <v>0</v>
      </c>
      <c r="O26" s="22">
        <v>60000</v>
      </c>
      <c r="P26" s="96">
        <v>0.1</v>
      </c>
      <c r="Q26" s="22">
        <v>60000</v>
      </c>
      <c r="R26" s="96">
        <v>0.1</v>
      </c>
      <c r="S26" s="11">
        <v>80000</v>
      </c>
      <c r="T26" s="95">
        <v>0.1</v>
      </c>
      <c r="U26" s="11">
        <v>90000</v>
      </c>
      <c r="V26" s="12">
        <v>0.1</v>
      </c>
      <c r="W26" s="11">
        <v>100000</v>
      </c>
      <c r="X26" s="12">
        <v>0.1</v>
      </c>
      <c r="Y26" s="109"/>
      <c r="Z26" s="24" t="s">
        <v>297</v>
      </c>
      <c r="AA26" s="24" t="s">
        <v>245</v>
      </c>
      <c r="AB26" s="24" t="s">
        <v>224</v>
      </c>
      <c r="AE26" s="100"/>
    </row>
    <row r="27" spans="1:32" s="4" customFormat="1" ht="14.25" customHeight="1" thickTop="1" thickBot="1">
      <c r="A27" s="823" t="s">
        <v>105</v>
      </c>
      <c r="B27" s="824"/>
      <c r="C27" s="825"/>
      <c r="D27" s="25">
        <f>SUM(D4:D12)</f>
        <v>115700000</v>
      </c>
      <c r="E27" s="26">
        <f>SUM(E4:E12)</f>
        <v>100</v>
      </c>
      <c r="F27" s="26"/>
      <c r="G27" s="25">
        <f>SUM(G4:G12)</f>
        <v>111800000</v>
      </c>
      <c r="H27" s="26">
        <f>SUM(H4:H12)</f>
        <v>100</v>
      </c>
      <c r="I27" s="25">
        <f>SUM(I4:I12)</f>
        <v>106000000</v>
      </c>
      <c r="J27" s="26">
        <f>SUM(J4:J12)</f>
        <v>99.999999999999986</v>
      </c>
      <c r="K27" s="25">
        <f>SUM(K4:K12)</f>
        <v>103200000</v>
      </c>
      <c r="L27" s="26">
        <v>100</v>
      </c>
      <c r="M27" s="25">
        <f>SUM(M4:M12)</f>
        <v>105600000</v>
      </c>
      <c r="N27" s="26">
        <v>99.999999999999972</v>
      </c>
      <c r="O27" s="25">
        <v>91500000</v>
      </c>
      <c r="P27" s="26">
        <v>99.999999999999986</v>
      </c>
      <c r="Q27" s="25">
        <v>90400000</v>
      </c>
      <c r="R27" s="26">
        <v>99.999999999999986</v>
      </c>
      <c r="S27" s="25">
        <v>88400000</v>
      </c>
      <c r="T27" s="26">
        <v>100</v>
      </c>
      <c r="U27" s="25">
        <v>89900000</v>
      </c>
      <c r="V27" s="26">
        <v>100</v>
      </c>
      <c r="W27" s="25">
        <v>86200000</v>
      </c>
      <c r="X27" s="26">
        <v>100.00000000000001</v>
      </c>
      <c r="Y27" s="112"/>
      <c r="Z27" s="93">
        <f>(ROUND(D27/G27,3)-1)</f>
        <v>3.499999999999992E-2</v>
      </c>
      <c r="AA27" s="27">
        <f>(ROUND(G27/I27,3)-1)</f>
        <v>5.4999999999999938E-2</v>
      </c>
      <c r="AB27" s="27">
        <f>(ROUND(I27/K27,3)-1)</f>
        <v>2.6999999999999913E-2</v>
      </c>
    </row>
    <row r="28" spans="1:32" ht="14.25" customHeight="1">
      <c r="Y28" s="5"/>
      <c r="Z28" s="5"/>
      <c r="AA28" s="5"/>
    </row>
    <row r="29" spans="1:32" ht="14.25" customHeight="1">
      <c r="Y29" s="5"/>
      <c r="Z29" s="5"/>
      <c r="AA29" s="5"/>
    </row>
    <row r="30" spans="1:32" ht="14.25" customHeight="1" thickBot="1">
      <c r="A30" s="28" t="s">
        <v>135</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row>
    <row r="31" spans="1:32" s="4" customFormat="1" ht="14.25" customHeight="1">
      <c r="A31" s="805" t="s">
        <v>14</v>
      </c>
      <c r="B31" s="806"/>
      <c r="C31" s="807"/>
      <c r="D31" s="7" t="str">
        <f>D3</f>
        <v>令和6年度</v>
      </c>
      <c r="E31" s="8" t="str">
        <f>E3</f>
        <v>構成比</v>
      </c>
      <c r="F31" s="8"/>
      <c r="G31" s="7" t="str">
        <f t="shared" ref="G31:X31" si="0">G3</f>
        <v>令和5年度</v>
      </c>
      <c r="H31" s="8" t="str">
        <f t="shared" si="0"/>
        <v>構成比</v>
      </c>
      <c r="I31" s="7" t="str">
        <f t="shared" si="0"/>
        <v>令和4年度</v>
      </c>
      <c r="J31" s="8" t="str">
        <f t="shared" si="0"/>
        <v>構成比</v>
      </c>
      <c r="K31" s="7" t="str">
        <f t="shared" si="0"/>
        <v>令和3年度</v>
      </c>
      <c r="L31" s="8" t="str">
        <f t="shared" si="0"/>
        <v>構成比</v>
      </c>
      <c r="M31" s="7" t="str">
        <f t="shared" si="0"/>
        <v>令和2年度</v>
      </c>
      <c r="N31" s="8" t="str">
        <f t="shared" si="0"/>
        <v>構成比</v>
      </c>
      <c r="O31" s="7" t="str">
        <f t="shared" si="0"/>
        <v>令和元年度</v>
      </c>
      <c r="P31" s="8" t="str">
        <f t="shared" si="0"/>
        <v>構成比</v>
      </c>
      <c r="Q31" s="7" t="str">
        <f t="shared" si="0"/>
        <v>平成30年度</v>
      </c>
      <c r="R31" s="8" t="str">
        <f t="shared" si="0"/>
        <v>構成比</v>
      </c>
      <c r="S31" s="7" t="str">
        <f t="shared" si="0"/>
        <v>平成28年度</v>
      </c>
      <c r="T31" s="8" t="str">
        <f t="shared" si="0"/>
        <v>構成比</v>
      </c>
      <c r="U31" s="7" t="str">
        <f t="shared" si="0"/>
        <v>平成27年度</v>
      </c>
      <c r="V31" s="8" t="str">
        <f t="shared" si="0"/>
        <v>構成比</v>
      </c>
      <c r="W31" s="7" t="str">
        <f t="shared" si="0"/>
        <v>平成26年度</v>
      </c>
      <c r="X31" s="8" t="str">
        <f t="shared" si="0"/>
        <v>構成比</v>
      </c>
      <c r="Y31" s="107"/>
      <c r="Z31" s="108"/>
      <c r="AA31" s="108"/>
      <c r="AB31" s="108"/>
      <c r="AE31" s="100"/>
    </row>
    <row r="32" spans="1:32" ht="14.25" customHeight="1">
      <c r="A32" s="789" t="s">
        <v>108</v>
      </c>
      <c r="B32" s="790"/>
      <c r="C32" s="791"/>
      <c r="D32" s="32">
        <f>歳出目的別!$C$7</f>
        <v>55528644</v>
      </c>
      <c r="E32" s="33">
        <f>歳出目的別!$G$7</f>
        <v>48</v>
      </c>
      <c r="F32" s="33"/>
      <c r="G32" s="32">
        <v>52126762</v>
      </c>
      <c r="H32" s="33">
        <v>46.6</v>
      </c>
      <c r="I32" s="32">
        <v>51335841</v>
      </c>
      <c r="J32" s="33">
        <v>48.4</v>
      </c>
      <c r="K32" s="32">
        <v>49822960</v>
      </c>
      <c r="L32" s="33">
        <v>48.300000000000004</v>
      </c>
      <c r="M32" s="32">
        <v>48065223</v>
      </c>
      <c r="N32" s="33">
        <v>45.5</v>
      </c>
      <c r="O32" s="32">
        <v>46113753</v>
      </c>
      <c r="P32" s="33">
        <v>46.9</v>
      </c>
      <c r="Q32" s="32">
        <v>43023019</v>
      </c>
      <c r="R32" s="33">
        <v>47</v>
      </c>
      <c r="S32" s="32">
        <v>40075486</v>
      </c>
      <c r="T32" s="33">
        <v>45.3</v>
      </c>
      <c r="U32" s="32">
        <v>38169745</v>
      </c>
      <c r="V32" s="33">
        <v>42.5</v>
      </c>
      <c r="W32" s="32">
        <v>36155140</v>
      </c>
      <c r="X32" s="115">
        <v>41.9</v>
      </c>
      <c r="Y32" s="120"/>
      <c r="Z32" s="114"/>
      <c r="AA32" s="114"/>
      <c r="AB32" s="119"/>
      <c r="AC32" s="29"/>
      <c r="AD32" s="30"/>
      <c r="AF32" s="31"/>
    </row>
    <row r="33" spans="1:32" ht="14.25" customHeight="1">
      <c r="A33" s="789" t="s">
        <v>115</v>
      </c>
      <c r="B33" s="790"/>
      <c r="C33" s="791"/>
      <c r="D33" s="32">
        <f>歳出目的別!$C$14</f>
        <v>15127824</v>
      </c>
      <c r="E33" s="33">
        <f>歳出目的別!$G$14</f>
        <v>13.1</v>
      </c>
      <c r="F33" s="33"/>
      <c r="G33" s="32">
        <v>13315148</v>
      </c>
      <c r="H33" s="33">
        <v>11.9</v>
      </c>
      <c r="I33" s="32">
        <v>11051812</v>
      </c>
      <c r="J33" s="33">
        <v>10.4</v>
      </c>
      <c r="K33" s="32">
        <v>10523372</v>
      </c>
      <c r="L33" s="33">
        <v>10.199999999999999</v>
      </c>
      <c r="M33" s="32">
        <v>10046335</v>
      </c>
      <c r="N33" s="33">
        <v>9.5</v>
      </c>
      <c r="O33" s="32">
        <v>9816823</v>
      </c>
      <c r="P33" s="33">
        <v>10</v>
      </c>
      <c r="Q33" s="32">
        <v>9458098</v>
      </c>
      <c r="R33" s="33">
        <v>10.3</v>
      </c>
      <c r="S33" s="32">
        <v>9122881</v>
      </c>
      <c r="T33" s="33">
        <v>10.3</v>
      </c>
      <c r="U33" s="32">
        <v>9265633</v>
      </c>
      <c r="V33" s="33">
        <v>10.3</v>
      </c>
      <c r="W33" s="32">
        <v>8794195</v>
      </c>
      <c r="X33" s="115">
        <v>10.199999999999999</v>
      </c>
      <c r="Y33" s="120"/>
      <c r="Z33" s="114"/>
      <c r="AA33" s="114"/>
      <c r="AB33" s="119"/>
      <c r="AC33" s="29"/>
      <c r="AD33" s="30"/>
      <c r="AF33" s="31"/>
    </row>
    <row r="34" spans="1:32" ht="14.25" customHeight="1">
      <c r="A34" s="789" t="s">
        <v>107</v>
      </c>
      <c r="B34" s="790"/>
      <c r="C34" s="791"/>
      <c r="D34" s="32">
        <f>歳出目的別!$C$6</f>
        <v>10949269</v>
      </c>
      <c r="E34" s="33">
        <f>歳出目的別!$G$6</f>
        <v>9.5</v>
      </c>
      <c r="F34" s="33"/>
      <c r="G34" s="32">
        <v>11882730</v>
      </c>
      <c r="H34" s="33">
        <v>10.6</v>
      </c>
      <c r="I34" s="32">
        <v>10218493</v>
      </c>
      <c r="J34" s="33">
        <v>9.6</v>
      </c>
      <c r="K34" s="32">
        <v>10888289</v>
      </c>
      <c r="L34" s="33">
        <v>10.5</v>
      </c>
      <c r="M34" s="32">
        <v>16924394</v>
      </c>
      <c r="N34" s="33">
        <v>16</v>
      </c>
      <c r="O34" s="32">
        <v>9981260</v>
      </c>
      <c r="P34" s="33">
        <v>10.199999999999999</v>
      </c>
      <c r="Q34" s="32">
        <v>8701240</v>
      </c>
      <c r="R34" s="33">
        <v>9.5</v>
      </c>
      <c r="S34" s="32">
        <v>7842873</v>
      </c>
      <c r="T34" s="33">
        <v>8.9</v>
      </c>
      <c r="U34" s="32">
        <v>8814637</v>
      </c>
      <c r="V34" s="33">
        <v>9.8000000000000007</v>
      </c>
      <c r="W34" s="32">
        <v>9199707</v>
      </c>
      <c r="X34" s="115">
        <v>10.7</v>
      </c>
      <c r="Y34" s="120"/>
      <c r="Z34" s="114"/>
      <c r="AA34" s="114"/>
      <c r="AB34" s="119"/>
      <c r="AC34" s="29"/>
      <c r="AD34" s="30"/>
      <c r="AF34" s="31"/>
    </row>
    <row r="35" spans="1:32" ht="14.25" customHeight="1">
      <c r="A35" s="789" t="s">
        <v>109</v>
      </c>
      <c r="B35" s="790"/>
      <c r="C35" s="791"/>
      <c r="D35" s="32">
        <f>歳出目的別!$C$8</f>
        <v>10654617</v>
      </c>
      <c r="E35" s="33">
        <f>歳出目的別!$G$8</f>
        <v>9.1999999999999993</v>
      </c>
      <c r="F35" s="33"/>
      <c r="G35" s="32">
        <v>11374132</v>
      </c>
      <c r="H35" s="33">
        <v>10.199999999999999</v>
      </c>
      <c r="I35" s="32">
        <v>10703219</v>
      </c>
      <c r="J35" s="33">
        <v>10.1</v>
      </c>
      <c r="K35" s="32">
        <v>10477776</v>
      </c>
      <c r="L35" s="33">
        <v>10.1</v>
      </c>
      <c r="M35" s="32">
        <v>8482480</v>
      </c>
      <c r="N35" s="33">
        <v>8</v>
      </c>
      <c r="O35" s="32">
        <v>9690716</v>
      </c>
      <c r="P35" s="33">
        <v>9.9</v>
      </c>
      <c r="Q35" s="32">
        <v>8453390</v>
      </c>
      <c r="R35" s="33">
        <v>9.1999999999999993</v>
      </c>
      <c r="S35" s="32">
        <v>7902053</v>
      </c>
      <c r="T35" s="33">
        <v>8.9</v>
      </c>
      <c r="U35" s="32">
        <v>11005590</v>
      </c>
      <c r="V35" s="33">
        <v>12.2</v>
      </c>
      <c r="W35" s="32">
        <v>8992192</v>
      </c>
      <c r="X35" s="115">
        <v>10.4</v>
      </c>
      <c r="Y35" s="120"/>
      <c r="Z35" s="114"/>
      <c r="AA35" s="114"/>
      <c r="AB35" s="119"/>
      <c r="AC35" s="29"/>
      <c r="AD35" s="30"/>
      <c r="AF35" s="31"/>
    </row>
    <row r="36" spans="1:32" ht="14.25" customHeight="1">
      <c r="A36" s="789" t="s">
        <v>113</v>
      </c>
      <c r="B36" s="790"/>
      <c r="C36" s="791"/>
      <c r="D36" s="32">
        <f>歳出目的別!$C$12</f>
        <v>9770890</v>
      </c>
      <c r="E36" s="33">
        <f>歳出目的別!$G$12</f>
        <v>8.4</v>
      </c>
      <c r="F36" s="33"/>
      <c r="G36" s="32">
        <v>9275933</v>
      </c>
      <c r="H36" s="33">
        <v>8.2999999999999989</v>
      </c>
      <c r="I36" s="32">
        <v>9131557</v>
      </c>
      <c r="J36" s="33">
        <v>8.6</v>
      </c>
      <c r="K36" s="32">
        <v>8580466</v>
      </c>
      <c r="L36" s="33">
        <v>8.3000000000000007</v>
      </c>
      <c r="M36" s="32">
        <v>9371321</v>
      </c>
      <c r="N36" s="33">
        <v>8.9</v>
      </c>
      <c r="O36" s="32">
        <v>9800794</v>
      </c>
      <c r="P36" s="33">
        <v>10</v>
      </c>
      <c r="Q36" s="32">
        <v>9394256</v>
      </c>
      <c r="R36" s="33">
        <v>10.3</v>
      </c>
      <c r="S36" s="32">
        <v>10010791</v>
      </c>
      <c r="T36" s="33">
        <v>11.3</v>
      </c>
      <c r="U36" s="32">
        <v>9773008</v>
      </c>
      <c r="V36" s="33">
        <v>10.9</v>
      </c>
      <c r="W36" s="32">
        <v>9843732</v>
      </c>
      <c r="X36" s="115">
        <v>11.4</v>
      </c>
      <c r="Y36" s="120"/>
      <c r="Z36" s="114"/>
      <c r="AA36" s="114"/>
      <c r="AB36" s="119"/>
      <c r="AC36" s="29"/>
      <c r="AD36" s="30"/>
      <c r="AF36" s="31"/>
    </row>
    <row r="37" spans="1:32" ht="14.25" customHeight="1">
      <c r="A37" s="789" t="s">
        <v>116</v>
      </c>
      <c r="B37" s="790"/>
      <c r="C37" s="791"/>
      <c r="D37" s="32">
        <f>歳出目的別!$C$16</f>
        <v>7727231</v>
      </c>
      <c r="E37" s="33">
        <f>歳出目的別!$G$16</f>
        <v>6.6999999999999993</v>
      </c>
      <c r="F37" s="33"/>
      <c r="G37" s="32">
        <v>7783532</v>
      </c>
      <c r="H37" s="33">
        <v>7</v>
      </c>
      <c r="I37" s="32">
        <v>7697155</v>
      </c>
      <c r="J37" s="33">
        <v>7.3</v>
      </c>
      <c r="K37" s="32">
        <v>7512905</v>
      </c>
      <c r="L37" s="33">
        <v>7.3</v>
      </c>
      <c r="M37" s="32">
        <v>7429919</v>
      </c>
      <c r="N37" s="33">
        <v>7</v>
      </c>
      <c r="O37" s="32">
        <v>7453596</v>
      </c>
      <c r="P37" s="33">
        <v>7.6</v>
      </c>
      <c r="Q37" s="32">
        <v>7152391</v>
      </c>
      <c r="R37" s="33">
        <v>7.8</v>
      </c>
      <c r="S37" s="32">
        <v>7239174</v>
      </c>
      <c r="T37" s="33">
        <v>8.1999999999999993</v>
      </c>
      <c r="U37" s="32">
        <v>7288287</v>
      </c>
      <c r="V37" s="33">
        <v>8.1</v>
      </c>
      <c r="W37" s="32">
        <v>7891255</v>
      </c>
      <c r="X37" s="115">
        <v>9.1</v>
      </c>
      <c r="Y37" s="120"/>
      <c r="Z37" s="114"/>
      <c r="AA37" s="114"/>
      <c r="AB37" s="119"/>
      <c r="AC37" s="29"/>
      <c r="AD37" s="30"/>
      <c r="AF37" s="31"/>
    </row>
    <row r="38" spans="1:32" ht="14.25" customHeight="1">
      <c r="A38" s="789" t="s">
        <v>114</v>
      </c>
      <c r="B38" s="790"/>
      <c r="C38" s="791"/>
      <c r="D38" s="32">
        <f>歳出目的別!$C$13</f>
        <v>3993352</v>
      </c>
      <c r="E38" s="33">
        <f>歳出目的別!$G$13</f>
        <v>3.5</v>
      </c>
      <c r="F38" s="33"/>
      <c r="G38" s="32">
        <v>4001700</v>
      </c>
      <c r="H38" s="33">
        <v>3.6</v>
      </c>
      <c r="I38" s="32">
        <v>4021072</v>
      </c>
      <c r="J38" s="33">
        <v>3.8000000000000003</v>
      </c>
      <c r="K38" s="32">
        <v>3258446</v>
      </c>
      <c r="L38" s="33">
        <v>3.2</v>
      </c>
      <c r="M38" s="32">
        <v>3288417</v>
      </c>
      <c r="N38" s="33">
        <v>3.1</v>
      </c>
      <c r="O38" s="32">
        <v>3476271</v>
      </c>
      <c r="P38" s="33">
        <v>3.5</v>
      </c>
      <c r="Q38" s="32">
        <v>3384244</v>
      </c>
      <c r="R38" s="33">
        <v>3.7</v>
      </c>
      <c r="S38" s="32">
        <v>4039292</v>
      </c>
      <c r="T38" s="33">
        <v>4.5999999999999996</v>
      </c>
      <c r="U38" s="32">
        <v>3553415</v>
      </c>
      <c r="V38" s="33">
        <v>3.9</v>
      </c>
      <c r="W38" s="32">
        <v>3155532</v>
      </c>
      <c r="X38" s="115">
        <v>3.7</v>
      </c>
      <c r="Y38" s="120"/>
      <c r="Z38" s="114"/>
      <c r="AA38" s="114"/>
      <c r="AB38" s="119"/>
      <c r="AC38" s="29"/>
      <c r="AD38" s="30"/>
      <c r="AF38" s="31"/>
    </row>
    <row r="39" spans="1:32" ht="14.25" customHeight="1">
      <c r="A39" s="835" t="s">
        <v>74</v>
      </c>
      <c r="B39" s="836"/>
      <c r="C39" s="837"/>
      <c r="D39" s="34">
        <f>SUM(D40:D46)</f>
        <v>1948173</v>
      </c>
      <c r="E39" s="35">
        <f t="shared" ref="E39" si="1">SUM(E40:E46)</f>
        <v>1.6</v>
      </c>
      <c r="F39" s="35"/>
      <c r="G39" s="34">
        <v>2040063</v>
      </c>
      <c r="H39" s="35">
        <v>1.8000000000000003</v>
      </c>
      <c r="I39" s="34">
        <v>1840851</v>
      </c>
      <c r="J39" s="35">
        <v>1.8000000000000003</v>
      </c>
      <c r="K39" s="34">
        <v>2135786</v>
      </c>
      <c r="L39" s="35">
        <v>2.1</v>
      </c>
      <c r="M39" s="34">
        <v>1991911</v>
      </c>
      <c r="N39" s="35">
        <v>2</v>
      </c>
      <c r="O39" s="34">
        <v>1966787</v>
      </c>
      <c r="P39" s="35">
        <v>1.9000000000000001</v>
      </c>
      <c r="Q39" s="34">
        <v>1933362</v>
      </c>
      <c r="R39" s="35">
        <v>2.2000000000000002</v>
      </c>
      <c r="S39" s="34">
        <v>2167450</v>
      </c>
      <c r="T39" s="35">
        <v>2.5000000000000004</v>
      </c>
      <c r="U39" s="34">
        <v>2029685</v>
      </c>
      <c r="V39" s="35">
        <v>2.3000000000000003</v>
      </c>
      <c r="W39" s="34">
        <v>2168247</v>
      </c>
      <c r="X39" s="116">
        <v>2.6</v>
      </c>
      <c r="Y39" s="120"/>
      <c r="Z39" s="114"/>
      <c r="AA39" s="114"/>
      <c r="AB39" s="119"/>
      <c r="AC39" s="29"/>
      <c r="AD39" s="30"/>
      <c r="AF39" s="31"/>
    </row>
    <row r="40" spans="1:32" ht="14.25" customHeight="1">
      <c r="B40" s="37"/>
      <c r="C40" s="138" t="s">
        <v>111</v>
      </c>
      <c r="D40" s="32">
        <f>歳出目的別!$C$10</f>
        <v>633315</v>
      </c>
      <c r="E40" s="33">
        <f>歳出目的別!$G$10</f>
        <v>0.5</v>
      </c>
      <c r="F40" s="33"/>
      <c r="G40" s="32">
        <v>825652</v>
      </c>
      <c r="H40" s="33">
        <v>0.7</v>
      </c>
      <c r="I40" s="32">
        <v>600100</v>
      </c>
      <c r="J40" s="33">
        <v>0.6</v>
      </c>
      <c r="K40" s="32">
        <v>813487</v>
      </c>
      <c r="L40" s="33">
        <v>0.79999999999999993</v>
      </c>
      <c r="M40" s="32">
        <v>684707</v>
      </c>
      <c r="N40" s="33">
        <v>0.7</v>
      </c>
      <c r="O40" s="32">
        <v>626700</v>
      </c>
      <c r="P40" s="33">
        <v>0.6</v>
      </c>
      <c r="Q40" s="32">
        <v>563587</v>
      </c>
      <c r="R40" s="33">
        <v>0.6</v>
      </c>
      <c r="S40" s="32">
        <v>584396</v>
      </c>
      <c r="T40" s="33">
        <v>0.7</v>
      </c>
      <c r="U40" s="32">
        <v>455683</v>
      </c>
      <c r="V40" s="33">
        <v>0.5</v>
      </c>
      <c r="W40" s="32">
        <v>492908</v>
      </c>
      <c r="X40" s="135">
        <v>0.6</v>
      </c>
      <c r="Y40" s="120"/>
      <c r="Z40" s="114"/>
      <c r="AA40" s="114"/>
      <c r="AB40" s="119"/>
      <c r="AC40" s="29"/>
      <c r="AD40" s="30"/>
      <c r="AF40" s="31"/>
    </row>
    <row r="41" spans="1:32" ht="14.25" customHeight="1">
      <c r="B41" s="37"/>
      <c r="C41" s="137" t="s">
        <v>106</v>
      </c>
      <c r="D41" s="38">
        <f>歳出目的別!$C$5</f>
        <v>582492</v>
      </c>
      <c r="E41" s="132">
        <f>歳出目的別!$G$5</f>
        <v>0.5</v>
      </c>
      <c r="F41" s="39"/>
      <c r="G41" s="38">
        <v>583986</v>
      </c>
      <c r="H41" s="132">
        <v>0.5</v>
      </c>
      <c r="I41" s="38">
        <v>589957</v>
      </c>
      <c r="J41" s="132">
        <v>0.6</v>
      </c>
      <c r="K41" s="133">
        <v>592469</v>
      </c>
      <c r="L41" s="132">
        <v>0.6</v>
      </c>
      <c r="M41" s="133">
        <v>592117</v>
      </c>
      <c r="N41" s="132">
        <v>0.6</v>
      </c>
      <c r="O41" s="133">
        <v>602914</v>
      </c>
      <c r="P41" s="132">
        <v>0.6</v>
      </c>
      <c r="Q41" s="133">
        <v>595520</v>
      </c>
      <c r="R41" s="132">
        <v>0.7</v>
      </c>
      <c r="S41" s="133">
        <v>592133</v>
      </c>
      <c r="T41" s="132">
        <v>0.7</v>
      </c>
      <c r="U41" s="133">
        <v>591064</v>
      </c>
      <c r="V41" s="132">
        <v>0.7</v>
      </c>
      <c r="W41" s="133">
        <v>571593</v>
      </c>
      <c r="X41" s="134">
        <v>0.7</v>
      </c>
      <c r="Y41" s="120"/>
      <c r="Z41" s="114"/>
      <c r="AA41" s="114"/>
      <c r="AB41" s="119"/>
      <c r="AC41" s="29"/>
      <c r="AD41" s="30"/>
      <c r="AF41" s="31"/>
    </row>
    <row r="42" spans="1:32" ht="14.25" customHeight="1">
      <c r="B42" s="37"/>
      <c r="C42" s="137" t="s">
        <v>112</v>
      </c>
      <c r="D42" s="32">
        <f>歳出目的別!$C$11</f>
        <v>492611</v>
      </c>
      <c r="E42" s="33">
        <f>歳出目的別!$G$11</f>
        <v>0.4</v>
      </c>
      <c r="F42" s="33"/>
      <c r="G42" s="32">
        <v>422081</v>
      </c>
      <c r="H42" s="33">
        <v>0.4</v>
      </c>
      <c r="I42" s="32">
        <v>433244</v>
      </c>
      <c r="J42" s="33">
        <v>0.4</v>
      </c>
      <c r="K42" s="32">
        <v>500445</v>
      </c>
      <c r="L42" s="33">
        <v>0.5</v>
      </c>
      <c r="M42" s="32">
        <v>484302</v>
      </c>
      <c r="N42" s="33">
        <v>0.5</v>
      </c>
      <c r="O42" s="32">
        <v>500988</v>
      </c>
      <c r="P42" s="33">
        <v>0.5</v>
      </c>
      <c r="Q42" s="32">
        <v>518190</v>
      </c>
      <c r="R42" s="33">
        <v>0.6</v>
      </c>
      <c r="S42" s="32">
        <v>720126</v>
      </c>
      <c r="T42" s="33">
        <v>0.8</v>
      </c>
      <c r="U42" s="32">
        <v>720283</v>
      </c>
      <c r="V42" s="33">
        <v>0.8</v>
      </c>
      <c r="W42" s="32">
        <v>829731</v>
      </c>
      <c r="X42" s="115">
        <v>1</v>
      </c>
      <c r="Y42" s="120"/>
      <c r="Z42" s="114"/>
      <c r="AA42" s="114"/>
      <c r="AB42" s="119"/>
      <c r="AC42" s="29"/>
      <c r="AD42" s="30"/>
      <c r="AF42" s="31"/>
    </row>
    <row r="43" spans="1:32">
      <c r="A43" s="36"/>
      <c r="B43" s="37"/>
      <c r="C43" s="137" t="s">
        <v>119</v>
      </c>
      <c r="D43" s="32">
        <f>歳出目的別!$C$18</f>
        <v>120000</v>
      </c>
      <c r="E43" s="33">
        <f>歳出目的別!$G$18</f>
        <v>0.1</v>
      </c>
      <c r="F43" s="33"/>
      <c r="G43" s="32">
        <v>120000</v>
      </c>
      <c r="H43" s="33">
        <v>0.1</v>
      </c>
      <c r="I43" s="32">
        <v>120000</v>
      </c>
      <c r="J43" s="33">
        <v>0.1</v>
      </c>
      <c r="K43" s="32">
        <v>120000</v>
      </c>
      <c r="L43" s="33">
        <v>0.1</v>
      </c>
      <c r="M43" s="32">
        <v>120000</v>
      </c>
      <c r="N43" s="33">
        <v>0.1</v>
      </c>
      <c r="O43" s="32">
        <v>120000</v>
      </c>
      <c r="P43" s="33">
        <v>0.1</v>
      </c>
      <c r="Q43" s="32">
        <v>120000</v>
      </c>
      <c r="R43" s="33">
        <v>0.1</v>
      </c>
      <c r="S43" s="32">
        <v>120000</v>
      </c>
      <c r="T43" s="33">
        <v>0.1</v>
      </c>
      <c r="U43" s="32">
        <v>100000</v>
      </c>
      <c r="V43" s="33">
        <v>0.1</v>
      </c>
      <c r="W43" s="32">
        <v>100000</v>
      </c>
      <c r="X43" s="115">
        <v>0.1</v>
      </c>
      <c r="Y43" s="120"/>
      <c r="Z43" s="114"/>
      <c r="AA43" s="114"/>
      <c r="AB43" s="119"/>
      <c r="AC43" s="29"/>
      <c r="AD43" s="30"/>
      <c r="AF43" s="31"/>
    </row>
    <row r="44" spans="1:32" ht="14.25" customHeight="1">
      <c r="B44" s="37"/>
      <c r="C44" s="137" t="s">
        <v>110</v>
      </c>
      <c r="D44" s="32">
        <f>歳出目的別!$C$9</f>
        <v>77735</v>
      </c>
      <c r="E44" s="33">
        <f>歳出目的別!$G$9</f>
        <v>0.1</v>
      </c>
      <c r="F44" s="33"/>
      <c r="G44" s="32">
        <v>69324</v>
      </c>
      <c r="H44" s="33">
        <v>0.1</v>
      </c>
      <c r="I44" s="32">
        <v>71130</v>
      </c>
      <c r="J44" s="33">
        <v>0.1</v>
      </c>
      <c r="K44" s="32">
        <v>70565</v>
      </c>
      <c r="L44" s="33">
        <v>0.1</v>
      </c>
      <c r="M44" s="32">
        <v>69965</v>
      </c>
      <c r="N44" s="33">
        <v>0.1</v>
      </c>
      <c r="O44" s="32">
        <v>72355</v>
      </c>
      <c r="P44" s="33">
        <v>0.1</v>
      </c>
      <c r="Q44" s="32">
        <v>70235</v>
      </c>
      <c r="R44" s="33">
        <v>0.1</v>
      </c>
      <c r="S44" s="32">
        <v>64965</v>
      </c>
      <c r="T44" s="33">
        <v>0.1</v>
      </c>
      <c r="U44" s="32">
        <v>71625</v>
      </c>
      <c r="V44" s="33">
        <v>0.1</v>
      </c>
      <c r="W44" s="32">
        <v>67985</v>
      </c>
      <c r="X44" s="135">
        <v>0.1</v>
      </c>
      <c r="Y44" s="120"/>
      <c r="Z44" s="114"/>
      <c r="AA44" s="114"/>
      <c r="AB44" s="119"/>
      <c r="AC44" s="29"/>
      <c r="AD44" s="30"/>
      <c r="AF44" s="31"/>
    </row>
    <row r="45" spans="1:32">
      <c r="A45" s="36"/>
      <c r="B45" s="37"/>
      <c r="C45" s="137" t="s">
        <v>118</v>
      </c>
      <c r="D45" s="32">
        <f>歳出目的別!$C$17</f>
        <v>42010</v>
      </c>
      <c r="E45" s="33">
        <f>歳出目的別!$G$17</f>
        <v>0</v>
      </c>
      <c r="F45" s="33"/>
      <c r="G45" s="32">
        <v>19010</v>
      </c>
      <c r="H45" s="33">
        <v>0</v>
      </c>
      <c r="I45" s="32">
        <v>26410</v>
      </c>
      <c r="J45" s="33">
        <v>0</v>
      </c>
      <c r="K45" s="32">
        <v>38810</v>
      </c>
      <c r="L45" s="33">
        <v>0</v>
      </c>
      <c r="M45" s="32">
        <v>40810</v>
      </c>
      <c r="N45" s="33">
        <v>0</v>
      </c>
      <c r="O45" s="32">
        <v>43810</v>
      </c>
      <c r="P45" s="33">
        <v>0</v>
      </c>
      <c r="Q45" s="32">
        <v>65810</v>
      </c>
      <c r="R45" s="33">
        <v>0.1</v>
      </c>
      <c r="S45" s="32">
        <v>85810</v>
      </c>
      <c r="T45" s="33">
        <v>0.1</v>
      </c>
      <c r="U45" s="32">
        <v>91010</v>
      </c>
      <c r="V45" s="33">
        <v>0.1</v>
      </c>
      <c r="W45" s="32">
        <v>106010</v>
      </c>
      <c r="X45" s="135">
        <v>0.1</v>
      </c>
      <c r="Y45" s="120"/>
      <c r="Z45" s="114"/>
      <c r="AA45" s="114"/>
      <c r="AB45" s="119"/>
      <c r="AC45" s="29"/>
      <c r="AD45" s="30"/>
      <c r="AF45" s="31"/>
    </row>
    <row r="46" spans="1:32">
      <c r="A46" s="36"/>
      <c r="B46" s="136"/>
      <c r="C46" s="141" t="s">
        <v>117</v>
      </c>
      <c r="D46" s="133">
        <f>歳出目的別!$C$15</f>
        <v>10</v>
      </c>
      <c r="E46" s="39">
        <f>歳出目的別!$G$15</f>
        <v>0</v>
      </c>
      <c r="F46" s="39"/>
      <c r="G46" s="133">
        <v>10</v>
      </c>
      <c r="H46" s="39">
        <v>0</v>
      </c>
      <c r="I46" s="133">
        <v>10</v>
      </c>
      <c r="J46" s="39">
        <v>0</v>
      </c>
      <c r="K46" s="38">
        <v>10</v>
      </c>
      <c r="L46" s="39">
        <v>0</v>
      </c>
      <c r="M46" s="38">
        <v>10</v>
      </c>
      <c r="N46" s="39">
        <v>0</v>
      </c>
      <c r="O46" s="38">
        <v>20</v>
      </c>
      <c r="P46" s="39">
        <v>0</v>
      </c>
      <c r="Q46" s="38">
        <v>20</v>
      </c>
      <c r="R46" s="39">
        <v>0</v>
      </c>
      <c r="S46" s="38">
        <v>20</v>
      </c>
      <c r="T46" s="39">
        <v>0</v>
      </c>
      <c r="U46" s="38">
        <v>20</v>
      </c>
      <c r="V46" s="39">
        <v>0</v>
      </c>
      <c r="W46" s="38">
        <v>20</v>
      </c>
      <c r="X46" s="117">
        <v>0</v>
      </c>
      <c r="Y46" s="120"/>
      <c r="Z46" s="114"/>
      <c r="AA46" s="114"/>
      <c r="AB46" s="119"/>
      <c r="AC46" s="29"/>
      <c r="AD46" s="30"/>
      <c r="AF46" s="31"/>
    </row>
    <row r="47" spans="1:32" ht="15" thickBot="1">
      <c r="A47" s="832" t="s">
        <v>136</v>
      </c>
      <c r="B47" s="833"/>
      <c r="C47" s="834"/>
      <c r="D47" s="40">
        <f>SUM(D32:D39)</f>
        <v>115700000</v>
      </c>
      <c r="E47" s="41">
        <f>SUM(E32:E39)</f>
        <v>100</v>
      </c>
      <c r="F47" s="41"/>
      <c r="G47" s="40">
        <v>106000000</v>
      </c>
      <c r="H47" s="41">
        <v>99.999999999999972</v>
      </c>
      <c r="I47" s="40">
        <v>103200000</v>
      </c>
      <c r="J47" s="41">
        <v>99.999999999999986</v>
      </c>
      <c r="K47" s="40">
        <v>105600000</v>
      </c>
      <c r="L47" s="41">
        <v>100</v>
      </c>
      <c r="M47" s="40">
        <v>98300000</v>
      </c>
      <c r="N47" s="41">
        <v>100</v>
      </c>
      <c r="O47" s="40">
        <v>91500000</v>
      </c>
      <c r="P47" s="41">
        <v>100</v>
      </c>
      <c r="Q47" s="40">
        <v>90400000</v>
      </c>
      <c r="R47" s="41">
        <v>100.00000000000001</v>
      </c>
      <c r="S47" s="40">
        <v>88400000</v>
      </c>
      <c r="T47" s="41">
        <v>99.999999999999986</v>
      </c>
      <c r="U47" s="40">
        <v>89900000</v>
      </c>
      <c r="V47" s="41">
        <v>100</v>
      </c>
      <c r="W47" s="40">
        <v>86200000</v>
      </c>
      <c r="X47" s="118">
        <v>100</v>
      </c>
      <c r="Y47" s="120"/>
      <c r="Z47" s="114"/>
      <c r="AA47" s="114"/>
      <c r="AB47" s="119"/>
      <c r="AC47" s="29"/>
      <c r="AD47" s="30"/>
      <c r="AF47" s="31"/>
    </row>
    <row r="48" spans="1:32" s="103" customFormat="1">
      <c r="A48" s="125"/>
      <c r="B48" s="125"/>
      <c r="C48" s="125"/>
      <c r="D48" s="126"/>
      <c r="E48" s="127"/>
      <c r="F48" s="127"/>
      <c r="G48" s="126"/>
      <c r="H48" s="127"/>
      <c r="I48" s="126"/>
      <c r="J48" s="127"/>
      <c r="K48" s="126"/>
      <c r="L48" s="127"/>
      <c r="M48" s="126"/>
      <c r="N48" s="127"/>
      <c r="O48" s="126"/>
      <c r="P48" s="127"/>
      <c r="Q48" s="126"/>
      <c r="R48" s="127"/>
      <c r="S48" s="126"/>
      <c r="T48" s="127"/>
      <c r="U48" s="126"/>
      <c r="V48" s="127"/>
      <c r="W48" s="126"/>
      <c r="X48" s="127"/>
      <c r="Y48" s="126"/>
      <c r="Z48" s="126"/>
      <c r="AA48" s="126"/>
      <c r="AB48" s="127"/>
      <c r="AC48" s="128"/>
      <c r="AD48" s="129"/>
      <c r="AE48" s="130"/>
      <c r="AF48" s="131"/>
    </row>
    <row r="49" spans="1:32" ht="15" thickBot="1">
      <c r="A49" s="1" t="s">
        <v>120</v>
      </c>
      <c r="X49" s="30"/>
      <c r="Y49" s="30"/>
      <c r="Z49" s="30"/>
      <c r="AA49" s="30"/>
    </row>
    <row r="50" spans="1:32" s="4" customFormat="1" ht="14.25" customHeight="1" thickBot="1">
      <c r="A50" s="805" t="s">
        <v>14</v>
      </c>
      <c r="B50" s="806"/>
      <c r="C50" s="807"/>
      <c r="D50" s="7" t="str">
        <f>D3</f>
        <v>令和6年度</v>
      </c>
      <c r="E50" s="8" t="str">
        <f>E3</f>
        <v>構成比</v>
      </c>
      <c r="F50" s="8"/>
      <c r="G50" s="7" t="str">
        <f>G3</f>
        <v>令和5年度</v>
      </c>
      <c r="H50" s="8" t="str">
        <f>H3</f>
        <v>構成比</v>
      </c>
      <c r="I50" s="7" t="s">
        <v>225</v>
      </c>
      <c r="J50" s="8" t="s">
        <v>202</v>
      </c>
      <c r="K50" s="7" t="str">
        <f t="shared" ref="K50:X50" si="2">K3</f>
        <v>令和3年度</v>
      </c>
      <c r="L50" s="8" t="str">
        <f t="shared" si="2"/>
        <v>構成比</v>
      </c>
      <c r="M50" s="7" t="str">
        <f t="shared" si="2"/>
        <v>令和2年度</v>
      </c>
      <c r="N50" s="8" t="str">
        <f t="shared" si="2"/>
        <v>構成比</v>
      </c>
      <c r="O50" s="7" t="str">
        <f t="shared" si="2"/>
        <v>令和元年度</v>
      </c>
      <c r="P50" s="8" t="str">
        <f t="shared" si="2"/>
        <v>構成比</v>
      </c>
      <c r="Q50" s="7" t="str">
        <f t="shared" si="2"/>
        <v>平成30年度</v>
      </c>
      <c r="R50" s="8" t="str">
        <f t="shared" si="2"/>
        <v>構成比</v>
      </c>
      <c r="S50" s="7" t="str">
        <f t="shared" si="2"/>
        <v>平成28年度</v>
      </c>
      <c r="T50" s="8" t="str">
        <f t="shared" si="2"/>
        <v>構成比</v>
      </c>
      <c r="U50" s="7" t="str">
        <f t="shared" si="2"/>
        <v>平成27年度</v>
      </c>
      <c r="V50" s="8" t="str">
        <f t="shared" si="2"/>
        <v>構成比</v>
      </c>
      <c r="W50" s="7" t="str">
        <f t="shared" si="2"/>
        <v>平成26年度</v>
      </c>
      <c r="X50" s="8" t="str">
        <f t="shared" si="2"/>
        <v>構成比</v>
      </c>
      <c r="Y50" s="107"/>
      <c r="Z50" s="108"/>
      <c r="AA50" s="108"/>
      <c r="AB50" s="108"/>
      <c r="AE50" s="98"/>
      <c r="AF50" s="98"/>
    </row>
    <row r="51" spans="1:32" ht="14.25" customHeight="1">
      <c r="A51" s="796" t="s">
        <v>121</v>
      </c>
      <c r="B51" s="801" t="s">
        <v>18</v>
      </c>
      <c r="C51" s="802"/>
      <c r="D51" s="42">
        <f>D4</f>
        <v>47149000</v>
      </c>
      <c r="E51" s="43">
        <f>E4</f>
        <v>40.800000000000004</v>
      </c>
      <c r="F51" s="43"/>
      <c r="G51" s="42">
        <v>48244000</v>
      </c>
      <c r="H51" s="43">
        <v>43.2</v>
      </c>
      <c r="I51" s="42">
        <v>46428000</v>
      </c>
      <c r="J51" s="43">
        <v>43.8</v>
      </c>
      <c r="K51" s="42">
        <v>44340000</v>
      </c>
      <c r="L51" s="43">
        <v>43</v>
      </c>
      <c r="M51" s="42">
        <v>46844000</v>
      </c>
      <c r="N51" s="43">
        <v>44.4</v>
      </c>
      <c r="O51" s="42">
        <v>46807000</v>
      </c>
      <c r="P51" s="43">
        <v>47.6</v>
      </c>
      <c r="Q51" s="42">
        <v>46086000</v>
      </c>
      <c r="R51" s="43">
        <v>50.4</v>
      </c>
      <c r="S51" s="42">
        <v>45288000</v>
      </c>
      <c r="T51" s="43">
        <v>51.2</v>
      </c>
      <c r="U51" s="42">
        <v>44761000</v>
      </c>
      <c r="V51" s="43">
        <v>49.8</v>
      </c>
      <c r="W51" s="42">
        <v>45057000</v>
      </c>
      <c r="X51" s="43">
        <v>52.270301624129935</v>
      </c>
      <c r="Y51" s="109"/>
      <c r="Z51" s="104"/>
      <c r="AA51" s="104"/>
      <c r="AB51" s="121"/>
      <c r="AD51" s="97"/>
      <c r="AE51" s="31"/>
      <c r="AF51" s="31"/>
    </row>
    <row r="52" spans="1:32" ht="14.1" customHeight="1">
      <c r="A52" s="797"/>
      <c r="B52" s="794" t="s">
        <v>49</v>
      </c>
      <c r="C52" s="808"/>
      <c r="D52" s="46">
        <f>D9</f>
        <v>7138910</v>
      </c>
      <c r="E52" s="45">
        <f>E9</f>
        <v>6.1999999999999993</v>
      </c>
      <c r="F52" s="45"/>
      <c r="G52" s="46">
        <v>6942710</v>
      </c>
      <c r="H52" s="45">
        <v>6.2</v>
      </c>
      <c r="I52" s="46">
        <v>3885371</v>
      </c>
      <c r="J52" s="45">
        <v>3.7</v>
      </c>
      <c r="K52" s="46">
        <v>4161266</v>
      </c>
      <c r="L52" s="45">
        <v>4</v>
      </c>
      <c r="M52" s="46">
        <v>4011910</v>
      </c>
      <c r="N52" s="45">
        <v>3.8000000000000003</v>
      </c>
      <c r="O52" s="46">
        <v>3194461</v>
      </c>
      <c r="P52" s="45">
        <v>3.2</v>
      </c>
      <c r="Q52" s="46">
        <v>2717320</v>
      </c>
      <c r="R52" s="45">
        <v>3</v>
      </c>
      <c r="S52" s="46">
        <v>1603000</v>
      </c>
      <c r="T52" s="45">
        <v>1.8</v>
      </c>
      <c r="U52" s="46">
        <v>1600000</v>
      </c>
      <c r="V52" s="45">
        <v>1.8</v>
      </c>
      <c r="W52" s="46">
        <v>2000012</v>
      </c>
      <c r="X52" s="45">
        <v>2.3201995359628769</v>
      </c>
      <c r="Y52" s="109"/>
      <c r="Z52" s="104"/>
      <c r="AA52" s="104"/>
      <c r="AB52" s="121"/>
      <c r="AD52" s="97"/>
      <c r="AE52" s="31"/>
      <c r="AF52" s="31"/>
    </row>
    <row r="53" spans="1:32">
      <c r="A53" s="797"/>
      <c r="B53" s="794" t="s">
        <v>51</v>
      </c>
      <c r="C53" s="795"/>
      <c r="D53" s="11">
        <f>D11</f>
        <v>3016865</v>
      </c>
      <c r="E53" s="45">
        <f>E11</f>
        <v>2.6</v>
      </c>
      <c r="F53" s="45"/>
      <c r="G53" s="11">
        <v>3201055</v>
      </c>
      <c r="H53" s="45">
        <v>2.9</v>
      </c>
      <c r="I53" s="11">
        <v>3007054</v>
      </c>
      <c r="J53" s="45">
        <v>2.8</v>
      </c>
      <c r="K53" s="11">
        <v>2957089</v>
      </c>
      <c r="L53" s="45">
        <v>2.9</v>
      </c>
      <c r="M53" s="11">
        <v>3059067</v>
      </c>
      <c r="N53" s="45">
        <v>2.9</v>
      </c>
      <c r="O53" s="11">
        <v>3702613</v>
      </c>
      <c r="P53" s="45">
        <v>3.8</v>
      </c>
      <c r="Q53" s="11">
        <v>2612893</v>
      </c>
      <c r="R53" s="45">
        <v>2.9</v>
      </c>
      <c r="S53" s="11">
        <v>2616740</v>
      </c>
      <c r="T53" s="45">
        <v>3</v>
      </c>
      <c r="U53" s="11">
        <v>5373946</v>
      </c>
      <c r="V53" s="45">
        <v>6</v>
      </c>
      <c r="W53" s="11">
        <v>2628010</v>
      </c>
      <c r="X53" s="45">
        <v>3.0487354988399074</v>
      </c>
      <c r="Y53" s="109"/>
      <c r="Z53" s="104"/>
      <c r="AA53" s="104"/>
      <c r="AB53" s="121"/>
      <c r="AD53" s="97"/>
      <c r="AE53" s="31"/>
      <c r="AF53" s="31"/>
    </row>
    <row r="54" spans="1:32" ht="14.1" customHeight="1">
      <c r="A54" s="797"/>
      <c r="B54" s="794" t="s">
        <v>48</v>
      </c>
      <c r="C54" s="795"/>
      <c r="D54" s="11">
        <f>D14</f>
        <v>1531925</v>
      </c>
      <c r="E54" s="45">
        <f>E14</f>
        <v>1.3</v>
      </c>
      <c r="F54" s="45"/>
      <c r="G54" s="11">
        <v>1467075</v>
      </c>
      <c r="H54" s="45">
        <v>1.3</v>
      </c>
      <c r="I54" s="11">
        <v>1465435</v>
      </c>
      <c r="J54" s="45">
        <v>1.4000000000000001</v>
      </c>
      <c r="K54" s="11">
        <v>1406735</v>
      </c>
      <c r="L54" s="45">
        <v>1.3</v>
      </c>
      <c r="M54" s="11">
        <v>1485098</v>
      </c>
      <c r="N54" s="45">
        <v>1.4</v>
      </c>
      <c r="O54" s="11">
        <v>1748921</v>
      </c>
      <c r="P54" s="45">
        <v>1.8</v>
      </c>
      <c r="Q54" s="11">
        <v>1732072</v>
      </c>
      <c r="R54" s="45">
        <v>1.9</v>
      </c>
      <c r="S54" s="11">
        <v>1727669</v>
      </c>
      <c r="T54" s="45">
        <v>2</v>
      </c>
      <c r="U54" s="11">
        <v>1727338</v>
      </c>
      <c r="V54" s="45">
        <v>1.9</v>
      </c>
      <c r="W54" s="11">
        <v>935003</v>
      </c>
      <c r="X54" s="45">
        <v>1.0846902552204176</v>
      </c>
      <c r="Y54" s="110"/>
      <c r="Z54" s="111"/>
      <c r="AA54" s="111"/>
      <c r="AB54" s="121"/>
      <c r="AD54" s="97"/>
      <c r="AE54" s="31"/>
      <c r="AF54" s="31"/>
    </row>
    <row r="55" spans="1:32">
      <c r="A55" s="797"/>
      <c r="B55" s="799" t="s">
        <v>122</v>
      </c>
      <c r="C55" s="800"/>
      <c r="D55" s="47">
        <f>SUM(D56:D59)</f>
        <v>1687890</v>
      </c>
      <c r="E55" s="48">
        <f>+SUM(E56:E59)</f>
        <v>1.5</v>
      </c>
      <c r="F55" s="48"/>
      <c r="G55" s="47">
        <v>1593900</v>
      </c>
      <c r="H55" s="48">
        <v>1.4000000000000001</v>
      </c>
      <c r="I55" s="47">
        <v>1556070</v>
      </c>
      <c r="J55" s="48">
        <v>1.4000000000000001</v>
      </c>
      <c r="K55" s="47">
        <v>1574620</v>
      </c>
      <c r="L55" s="48">
        <v>1.6</v>
      </c>
      <c r="M55" s="47">
        <v>1765060</v>
      </c>
      <c r="N55" s="48">
        <v>1.8</v>
      </c>
      <c r="O55" s="47">
        <v>2045300</v>
      </c>
      <c r="P55" s="48">
        <v>2.1000232018561484</v>
      </c>
      <c r="Q55" s="47">
        <v>2073640</v>
      </c>
      <c r="R55" s="48">
        <v>2.3000232018561486</v>
      </c>
      <c r="S55" s="47">
        <v>1977751</v>
      </c>
      <c r="T55" s="48">
        <v>2.3000232018561486</v>
      </c>
      <c r="U55" s="47">
        <v>1784176</v>
      </c>
      <c r="V55" s="48">
        <v>3.1</v>
      </c>
      <c r="W55" s="47">
        <v>2318325</v>
      </c>
      <c r="X55" s="48">
        <v>2.3342842227378191</v>
      </c>
      <c r="Y55" s="110"/>
      <c r="Z55" s="111"/>
      <c r="AA55" s="111"/>
      <c r="AB55" s="121"/>
      <c r="AD55" s="97"/>
      <c r="AE55" s="31"/>
      <c r="AF55" s="31"/>
    </row>
    <row r="56" spans="1:32" ht="14.25" customHeight="1">
      <c r="A56" s="797"/>
      <c r="B56" s="102"/>
      <c r="C56" s="101" t="s">
        <v>25</v>
      </c>
      <c r="D56" s="11">
        <f>D17</f>
        <v>532880</v>
      </c>
      <c r="E56" s="45">
        <f>E17</f>
        <v>0.5</v>
      </c>
      <c r="F56" s="45"/>
      <c r="G56" s="11">
        <v>495280</v>
      </c>
      <c r="H56" s="45">
        <v>0.4</v>
      </c>
      <c r="I56" s="11">
        <v>469750</v>
      </c>
      <c r="J56" s="45">
        <v>0.4</v>
      </c>
      <c r="K56" s="11">
        <v>507060</v>
      </c>
      <c r="L56" s="45">
        <v>0.5</v>
      </c>
      <c r="M56" s="11">
        <v>697770</v>
      </c>
      <c r="N56" s="45">
        <v>0.7</v>
      </c>
      <c r="O56" s="11">
        <v>974290</v>
      </c>
      <c r="P56" s="45">
        <v>1</v>
      </c>
      <c r="Q56" s="11">
        <v>1005010</v>
      </c>
      <c r="R56" s="45">
        <v>1.1000000000000001</v>
      </c>
      <c r="S56" s="11">
        <v>847290</v>
      </c>
      <c r="T56" s="45">
        <v>1</v>
      </c>
      <c r="U56" s="11">
        <v>721295</v>
      </c>
      <c r="V56" s="45">
        <v>0.8</v>
      </c>
      <c r="W56" s="11">
        <v>1241175</v>
      </c>
      <c r="X56" s="45">
        <v>1.4398781902552205</v>
      </c>
      <c r="Y56" s="109"/>
      <c r="Z56" s="104"/>
      <c r="AA56" s="104"/>
      <c r="AB56" s="121"/>
      <c r="AD56" s="97"/>
      <c r="AE56" s="31"/>
      <c r="AF56" s="31"/>
    </row>
    <row r="57" spans="1:32">
      <c r="A57" s="797"/>
      <c r="B57" s="6"/>
      <c r="C57" s="44" t="s">
        <v>50</v>
      </c>
      <c r="D57" s="11">
        <f>D15</f>
        <v>1000000</v>
      </c>
      <c r="E57" s="45">
        <f>E15</f>
        <v>0.9</v>
      </c>
      <c r="F57" s="45"/>
      <c r="G57" s="11">
        <v>1000000</v>
      </c>
      <c r="H57" s="45">
        <v>0.9</v>
      </c>
      <c r="I57" s="11">
        <v>1000000</v>
      </c>
      <c r="J57" s="45">
        <v>0.9</v>
      </c>
      <c r="K57" s="11">
        <v>1000000</v>
      </c>
      <c r="L57" s="45">
        <v>1</v>
      </c>
      <c r="M57" s="11">
        <v>1000000</v>
      </c>
      <c r="N57" s="45">
        <v>1</v>
      </c>
      <c r="O57" s="11">
        <v>1000000</v>
      </c>
      <c r="P57" s="45">
        <v>1</v>
      </c>
      <c r="Q57" s="11">
        <v>1000000</v>
      </c>
      <c r="R57" s="45">
        <v>1.1000000000000001</v>
      </c>
      <c r="S57" s="11">
        <v>1000000</v>
      </c>
      <c r="T57" s="45">
        <v>1.1000000000000001</v>
      </c>
      <c r="U57" s="11">
        <v>1000000</v>
      </c>
      <c r="V57" s="45">
        <v>1.1000000000000001</v>
      </c>
      <c r="W57" s="11">
        <v>1000000</v>
      </c>
      <c r="X57" s="45">
        <v>1.160092807424594</v>
      </c>
      <c r="Y57" s="109"/>
      <c r="Z57" s="104"/>
      <c r="AA57" s="104"/>
      <c r="AB57" s="121"/>
      <c r="AD57" s="97"/>
      <c r="AE57" s="31"/>
      <c r="AF57" s="31"/>
    </row>
    <row r="58" spans="1:32">
      <c r="A58" s="797"/>
      <c r="B58" s="6"/>
      <c r="C58" s="44" t="s">
        <v>28</v>
      </c>
      <c r="D58" s="11">
        <f>D23</f>
        <v>103010</v>
      </c>
      <c r="E58" s="45">
        <f>E23</f>
        <v>0.1</v>
      </c>
      <c r="F58" s="45"/>
      <c r="G58" s="11">
        <v>85610</v>
      </c>
      <c r="H58" s="45">
        <v>0.1</v>
      </c>
      <c r="I58" s="11">
        <v>81610</v>
      </c>
      <c r="J58" s="45">
        <v>0.1</v>
      </c>
      <c r="K58" s="11">
        <v>66550</v>
      </c>
      <c r="L58" s="45">
        <v>0.1</v>
      </c>
      <c r="M58" s="11">
        <v>66280</v>
      </c>
      <c r="N58" s="45">
        <v>0.1</v>
      </c>
      <c r="O58" s="11">
        <v>70000</v>
      </c>
      <c r="P58" s="45">
        <v>0.1</v>
      </c>
      <c r="Q58" s="11">
        <v>67620</v>
      </c>
      <c r="R58" s="45">
        <v>0.1</v>
      </c>
      <c r="S58" s="11">
        <v>130441</v>
      </c>
      <c r="T58" s="45">
        <v>0.2</v>
      </c>
      <c r="U58" s="11">
        <v>62861</v>
      </c>
      <c r="V58" s="45">
        <v>8.9477958236658939E-2</v>
      </c>
      <c r="W58" s="11">
        <v>77130</v>
      </c>
      <c r="X58" s="45">
        <v>8.9477958236658939E-2</v>
      </c>
      <c r="Y58" s="109"/>
      <c r="Z58" s="104"/>
      <c r="AA58" s="104"/>
      <c r="AB58" s="121"/>
      <c r="AD58" s="97"/>
      <c r="AE58" s="31"/>
      <c r="AF58" s="31"/>
    </row>
    <row r="59" spans="1:32">
      <c r="A59" s="797"/>
      <c r="B59" s="49"/>
      <c r="C59" s="50" t="s">
        <v>29</v>
      </c>
      <c r="D59" s="51">
        <f>D24</f>
        <v>52000</v>
      </c>
      <c r="E59" s="52">
        <f>E24</f>
        <v>0</v>
      </c>
      <c r="F59" s="52"/>
      <c r="G59" s="51">
        <v>13010</v>
      </c>
      <c r="H59" s="52">
        <v>0</v>
      </c>
      <c r="I59" s="51">
        <v>4710</v>
      </c>
      <c r="J59" s="52">
        <v>0</v>
      </c>
      <c r="K59" s="51">
        <v>1010</v>
      </c>
      <c r="L59" s="52">
        <v>0</v>
      </c>
      <c r="M59" s="51">
        <v>1010</v>
      </c>
      <c r="N59" s="52">
        <v>0</v>
      </c>
      <c r="O59" s="51">
        <v>1010</v>
      </c>
      <c r="P59" s="52">
        <v>2.3201856148491881E-5</v>
      </c>
      <c r="Q59" s="51">
        <v>1010</v>
      </c>
      <c r="R59" s="52">
        <v>2.3201856148491881E-5</v>
      </c>
      <c r="S59" s="51">
        <v>20</v>
      </c>
      <c r="T59" s="52">
        <v>2.3201856148491881E-5</v>
      </c>
      <c r="U59" s="51">
        <v>20</v>
      </c>
      <c r="V59" s="52">
        <v>2.3201856148491881E-5</v>
      </c>
      <c r="W59" s="51">
        <v>20</v>
      </c>
      <c r="X59" s="52">
        <v>2.3201856148491881E-5</v>
      </c>
      <c r="Y59" s="109"/>
      <c r="Z59" s="104"/>
      <c r="AA59" s="104"/>
      <c r="AB59" s="121"/>
      <c r="AD59" s="97"/>
      <c r="AE59" s="31"/>
      <c r="AF59" s="31"/>
    </row>
    <row r="60" spans="1:32">
      <c r="A60" s="798"/>
      <c r="B60" s="803" t="s">
        <v>81</v>
      </c>
      <c r="C60" s="804"/>
      <c r="D60" s="53">
        <f>SUM(D51:D55)</f>
        <v>60524590</v>
      </c>
      <c r="E60" s="54">
        <f>+SUM(E51:E55)</f>
        <v>52.4</v>
      </c>
      <c r="F60" s="54"/>
      <c r="G60" s="53">
        <v>61448740</v>
      </c>
      <c r="H60" s="54">
        <v>55</v>
      </c>
      <c r="I60" s="53">
        <v>56341930</v>
      </c>
      <c r="J60" s="54">
        <v>53.099999999999994</v>
      </c>
      <c r="K60" s="53">
        <v>54439710</v>
      </c>
      <c r="L60" s="54">
        <v>52.8</v>
      </c>
      <c r="M60" s="53">
        <v>57165135</v>
      </c>
      <c r="N60" s="54">
        <v>54.29999999999999</v>
      </c>
      <c r="O60" s="53">
        <v>57498295</v>
      </c>
      <c r="P60" s="54">
        <v>58.500023201856145</v>
      </c>
      <c r="Q60" s="53">
        <v>55221925</v>
      </c>
      <c r="R60" s="54">
        <v>60.500023201856145</v>
      </c>
      <c r="S60" s="53">
        <v>53213160</v>
      </c>
      <c r="T60" s="54">
        <v>60.300023201856149</v>
      </c>
      <c r="U60" s="53">
        <v>55246460</v>
      </c>
      <c r="V60" s="54">
        <v>61.5</v>
      </c>
      <c r="W60" s="53">
        <v>52938350</v>
      </c>
      <c r="X60" s="54">
        <v>61.413399071925753</v>
      </c>
      <c r="Y60" s="109"/>
      <c r="Z60" s="104"/>
      <c r="AA60" s="104"/>
      <c r="AB60" s="121"/>
      <c r="AD60" s="97"/>
      <c r="AE60" s="31"/>
      <c r="AF60" s="31"/>
    </row>
    <row r="61" spans="1:32" ht="14.25" customHeight="1">
      <c r="A61" s="848" t="s">
        <v>123</v>
      </c>
      <c r="B61" s="792" t="s">
        <v>26</v>
      </c>
      <c r="C61" s="793"/>
      <c r="D61" s="9">
        <f t="shared" ref="D61:E64" si="3">D5</f>
        <v>20868640</v>
      </c>
      <c r="E61" s="55">
        <f t="shared" si="3"/>
        <v>18</v>
      </c>
      <c r="F61" s="55"/>
      <c r="G61" s="9">
        <v>20504780</v>
      </c>
      <c r="H61" s="55">
        <v>18.3</v>
      </c>
      <c r="I61" s="9">
        <v>20772010</v>
      </c>
      <c r="J61" s="55">
        <v>19.600000000000001</v>
      </c>
      <c r="K61" s="9">
        <v>20431860</v>
      </c>
      <c r="L61" s="55">
        <v>19.8</v>
      </c>
      <c r="M61" s="9">
        <v>17949905</v>
      </c>
      <c r="N61" s="55">
        <v>17</v>
      </c>
      <c r="O61" s="9">
        <v>16687885</v>
      </c>
      <c r="P61" s="55">
        <v>17</v>
      </c>
      <c r="Q61" s="9">
        <v>15468615</v>
      </c>
      <c r="R61" s="55">
        <v>16.899999999999999</v>
      </c>
      <c r="S61" s="9">
        <v>14449580</v>
      </c>
      <c r="T61" s="55">
        <v>16.3</v>
      </c>
      <c r="U61" s="9">
        <v>13680380</v>
      </c>
      <c r="V61" s="55">
        <v>15.1768909512761</v>
      </c>
      <c r="W61" s="9">
        <v>13082480</v>
      </c>
      <c r="X61" s="55">
        <v>15.1768909512761</v>
      </c>
      <c r="Y61" s="109"/>
      <c r="Z61" s="104"/>
      <c r="AA61" s="104"/>
      <c r="AB61" s="121"/>
      <c r="AD61" s="97"/>
      <c r="AE61" s="31"/>
      <c r="AF61" s="31"/>
    </row>
    <row r="62" spans="1:32">
      <c r="A62" s="849"/>
      <c r="B62" s="794" t="s">
        <v>52</v>
      </c>
      <c r="C62" s="795"/>
      <c r="D62" s="11">
        <f t="shared" si="3"/>
        <v>9210400</v>
      </c>
      <c r="E62" s="45">
        <f t="shared" si="3"/>
        <v>8</v>
      </c>
      <c r="F62" s="45"/>
      <c r="G62" s="11">
        <v>8163800</v>
      </c>
      <c r="H62" s="45">
        <v>7.3</v>
      </c>
      <c r="I62" s="11">
        <v>8222400</v>
      </c>
      <c r="J62" s="45">
        <v>7.7</v>
      </c>
      <c r="K62" s="11">
        <v>8485400</v>
      </c>
      <c r="L62" s="45">
        <v>8.1999999999999993</v>
      </c>
      <c r="M62" s="11">
        <v>11914300</v>
      </c>
      <c r="N62" s="45">
        <v>11.299999999999999</v>
      </c>
      <c r="O62" s="11">
        <v>7885700</v>
      </c>
      <c r="P62" s="45">
        <v>8</v>
      </c>
      <c r="Q62" s="11">
        <v>5657400</v>
      </c>
      <c r="R62" s="45">
        <v>6.2</v>
      </c>
      <c r="S62" s="11">
        <v>6312800</v>
      </c>
      <c r="T62" s="45">
        <v>7.1</v>
      </c>
      <c r="U62" s="11">
        <v>6462800</v>
      </c>
      <c r="V62" s="45">
        <v>7.2</v>
      </c>
      <c r="W62" s="11">
        <v>7144200</v>
      </c>
      <c r="X62" s="45">
        <v>8.2879350348027856</v>
      </c>
      <c r="Y62" s="109"/>
      <c r="Z62" s="104"/>
      <c r="AA62" s="104"/>
      <c r="AB62" s="121"/>
      <c r="AD62" s="97"/>
      <c r="AE62" s="31"/>
      <c r="AF62" s="31"/>
    </row>
    <row r="63" spans="1:32" ht="14.25" customHeight="1">
      <c r="A63" s="849"/>
      <c r="B63" s="794" t="s">
        <v>20</v>
      </c>
      <c r="C63" s="795"/>
      <c r="D63" s="11">
        <f t="shared" si="3"/>
        <v>7700000</v>
      </c>
      <c r="E63" s="45">
        <f t="shared" si="3"/>
        <v>6.6999999999999993</v>
      </c>
      <c r="F63" s="45"/>
      <c r="G63" s="11">
        <v>7800000</v>
      </c>
      <c r="H63" s="45">
        <v>7</v>
      </c>
      <c r="I63" s="11">
        <v>7200000</v>
      </c>
      <c r="J63" s="45">
        <v>6.8</v>
      </c>
      <c r="K63" s="11">
        <v>6900000</v>
      </c>
      <c r="L63" s="45">
        <v>6.6999999999999993</v>
      </c>
      <c r="M63" s="11">
        <v>7000000</v>
      </c>
      <c r="N63" s="45">
        <v>6.6</v>
      </c>
      <c r="O63" s="11">
        <v>5500000</v>
      </c>
      <c r="P63" s="45">
        <v>5.6</v>
      </c>
      <c r="Q63" s="11">
        <v>5200000</v>
      </c>
      <c r="R63" s="45">
        <v>5.7</v>
      </c>
      <c r="S63" s="11">
        <v>4984450</v>
      </c>
      <c r="T63" s="45">
        <v>5.6</v>
      </c>
      <c r="U63" s="11">
        <v>5260350</v>
      </c>
      <c r="V63" s="45">
        <v>5.8</v>
      </c>
      <c r="W63" s="11">
        <v>5064960</v>
      </c>
      <c r="X63" s="45">
        <v>5.8758236658932717</v>
      </c>
      <c r="Y63" s="109"/>
      <c r="Z63" s="788"/>
      <c r="AA63" s="788"/>
      <c r="AB63" s="121"/>
      <c r="AD63" s="97"/>
      <c r="AE63" s="31"/>
      <c r="AF63" s="31"/>
    </row>
    <row r="64" spans="1:32" ht="14.25" customHeight="1">
      <c r="A64" s="849"/>
      <c r="B64" s="794" t="s">
        <v>27</v>
      </c>
      <c r="C64" s="795"/>
      <c r="D64" s="11">
        <f t="shared" si="3"/>
        <v>7607370</v>
      </c>
      <c r="E64" s="45">
        <f t="shared" si="3"/>
        <v>6.6</v>
      </c>
      <c r="F64" s="45"/>
      <c r="G64" s="11">
        <v>7394680</v>
      </c>
      <c r="H64" s="45">
        <v>6.6</v>
      </c>
      <c r="I64" s="11">
        <v>7495660</v>
      </c>
      <c r="J64" s="45">
        <v>7.1</v>
      </c>
      <c r="K64" s="11">
        <v>7264030</v>
      </c>
      <c r="L64" s="45">
        <v>7</v>
      </c>
      <c r="M64" s="11">
        <v>6652660</v>
      </c>
      <c r="N64" s="45">
        <v>6.3</v>
      </c>
      <c r="O64" s="11">
        <v>5990120</v>
      </c>
      <c r="P64" s="45">
        <v>6.1</v>
      </c>
      <c r="Q64" s="11">
        <v>5444060</v>
      </c>
      <c r="R64" s="45">
        <v>5.9</v>
      </c>
      <c r="S64" s="11">
        <v>4600000</v>
      </c>
      <c r="T64" s="45">
        <v>5.2</v>
      </c>
      <c r="U64" s="11">
        <v>4300000</v>
      </c>
      <c r="V64" s="45">
        <v>4.8</v>
      </c>
      <c r="W64" s="11">
        <v>3200000</v>
      </c>
      <c r="X64" s="45">
        <v>3.7122969837587005</v>
      </c>
      <c r="Y64" s="109"/>
      <c r="Z64" s="104"/>
      <c r="AA64" s="104"/>
      <c r="AB64" s="121"/>
      <c r="AD64" s="97"/>
      <c r="AE64" s="31"/>
      <c r="AF64" s="31"/>
    </row>
    <row r="65" spans="1:32">
      <c r="A65" s="849"/>
      <c r="B65" s="794" t="s">
        <v>23</v>
      </c>
      <c r="C65" s="795"/>
      <c r="D65" s="11">
        <f>D10</f>
        <v>5900000</v>
      </c>
      <c r="E65" s="45">
        <f>E10</f>
        <v>5.0999999999999996</v>
      </c>
      <c r="F65" s="45"/>
      <c r="G65" s="11">
        <v>4200000</v>
      </c>
      <c r="H65" s="45">
        <v>3.8000000000000003</v>
      </c>
      <c r="I65" s="11">
        <v>3900000</v>
      </c>
      <c r="J65" s="45">
        <v>3.7</v>
      </c>
      <c r="K65" s="11">
        <v>3700000</v>
      </c>
      <c r="L65" s="45">
        <v>3.6</v>
      </c>
      <c r="M65" s="11">
        <v>2900000</v>
      </c>
      <c r="N65" s="45">
        <v>2.7</v>
      </c>
      <c r="O65" s="11">
        <v>3000000</v>
      </c>
      <c r="P65" s="45">
        <v>3.1</v>
      </c>
      <c r="Q65" s="11">
        <v>2870000</v>
      </c>
      <c r="R65" s="45">
        <v>3.1</v>
      </c>
      <c r="S65" s="11">
        <v>3250000</v>
      </c>
      <c r="T65" s="45">
        <v>3.7</v>
      </c>
      <c r="U65" s="11">
        <v>3600000</v>
      </c>
      <c r="V65" s="45">
        <v>4</v>
      </c>
      <c r="W65" s="11">
        <v>3350000</v>
      </c>
      <c r="X65" s="45">
        <v>3.8863109048723898</v>
      </c>
      <c r="Y65" s="109"/>
      <c r="Z65" s="104"/>
      <c r="AA65" s="104"/>
      <c r="AB65" s="121"/>
      <c r="AD65" s="97"/>
      <c r="AE65" s="31"/>
      <c r="AF65" s="31"/>
    </row>
    <row r="66" spans="1:32" ht="14.25" customHeight="1">
      <c r="A66" s="849"/>
      <c r="B66" s="794" t="s">
        <v>167</v>
      </c>
      <c r="C66" s="795"/>
      <c r="D66" s="11">
        <f>D13</f>
        <v>1990000</v>
      </c>
      <c r="E66" s="45">
        <f>E13</f>
        <v>1.7</v>
      </c>
      <c r="F66" s="45"/>
      <c r="G66" s="11">
        <v>440000</v>
      </c>
      <c r="H66" s="45">
        <v>0.4</v>
      </c>
      <c r="I66" s="11">
        <v>380000</v>
      </c>
      <c r="J66" s="45">
        <v>0.4</v>
      </c>
      <c r="K66" s="11">
        <v>430000</v>
      </c>
      <c r="L66" s="45">
        <v>0.4</v>
      </c>
      <c r="M66" s="11">
        <v>430000</v>
      </c>
      <c r="N66" s="45">
        <v>0.4</v>
      </c>
      <c r="O66" s="11">
        <v>320000</v>
      </c>
      <c r="P66" s="45">
        <v>0.3</v>
      </c>
      <c r="Q66" s="11">
        <v>270000</v>
      </c>
      <c r="R66" s="45">
        <v>0.3</v>
      </c>
      <c r="S66" s="11">
        <v>270000</v>
      </c>
      <c r="T66" s="45">
        <v>0.3</v>
      </c>
      <c r="U66" s="11">
        <v>270000</v>
      </c>
      <c r="V66" s="45">
        <v>0.3</v>
      </c>
      <c r="W66" s="11">
        <v>270000</v>
      </c>
      <c r="X66" s="45">
        <v>0.3132250580046404</v>
      </c>
      <c r="Y66" s="109"/>
      <c r="Z66" s="104"/>
      <c r="AA66" s="104"/>
      <c r="AB66" s="121"/>
      <c r="AD66" s="97"/>
      <c r="AE66" s="31"/>
      <c r="AF66" s="31"/>
    </row>
    <row r="67" spans="1:32" ht="14.25" customHeight="1">
      <c r="A67" s="849"/>
      <c r="B67" s="794" t="s">
        <v>47</v>
      </c>
      <c r="C67" s="795"/>
      <c r="D67" s="11">
        <f>D16</f>
        <v>717000</v>
      </c>
      <c r="E67" s="45">
        <f>E16</f>
        <v>0.6</v>
      </c>
      <c r="F67" s="45"/>
      <c r="G67" s="11">
        <v>716000</v>
      </c>
      <c r="H67" s="45">
        <v>0.6</v>
      </c>
      <c r="I67" s="11">
        <v>716000</v>
      </c>
      <c r="J67" s="45">
        <v>0.7</v>
      </c>
      <c r="K67" s="11">
        <v>697000</v>
      </c>
      <c r="L67" s="45">
        <v>0.7</v>
      </c>
      <c r="M67" s="11">
        <v>717000</v>
      </c>
      <c r="N67" s="45">
        <v>0.7</v>
      </c>
      <c r="O67" s="11">
        <v>690000</v>
      </c>
      <c r="P67" s="45">
        <v>0.7</v>
      </c>
      <c r="Q67" s="11">
        <v>690000</v>
      </c>
      <c r="R67" s="45">
        <v>0.7</v>
      </c>
      <c r="S67" s="11">
        <v>660000</v>
      </c>
      <c r="T67" s="45">
        <v>0.7</v>
      </c>
      <c r="U67" s="11">
        <v>670000</v>
      </c>
      <c r="V67" s="45">
        <v>0.7</v>
      </c>
      <c r="W67" s="11">
        <v>730000</v>
      </c>
      <c r="X67" s="45">
        <v>0.84686774941995369</v>
      </c>
      <c r="Y67" s="109"/>
      <c r="Z67" s="104"/>
      <c r="AA67" s="104"/>
      <c r="AB67" s="121"/>
      <c r="AD67" s="97"/>
      <c r="AE67" s="31"/>
      <c r="AF67" s="31"/>
    </row>
    <row r="68" spans="1:32">
      <c r="A68" s="849"/>
      <c r="B68" s="799" t="s">
        <v>124</v>
      </c>
      <c r="C68" s="851"/>
      <c r="D68" s="13">
        <f>SUM(D69:D75)</f>
        <v>1182000</v>
      </c>
      <c r="E68" s="48">
        <f>+SUM(E69:E75)</f>
        <v>0.89999999999999991</v>
      </c>
      <c r="F68" s="48"/>
      <c r="G68" s="13">
        <v>1072000</v>
      </c>
      <c r="H68" s="48">
        <v>0.89999999999999991</v>
      </c>
      <c r="I68" s="13">
        <v>972000</v>
      </c>
      <c r="J68" s="48">
        <v>0.89999999999999991</v>
      </c>
      <c r="K68" s="13">
        <v>852000</v>
      </c>
      <c r="L68" s="48">
        <v>0.8</v>
      </c>
      <c r="M68" s="13">
        <v>871000</v>
      </c>
      <c r="N68" s="48">
        <v>0.7</v>
      </c>
      <c r="O68" s="13">
        <v>728000</v>
      </c>
      <c r="P68" s="48">
        <v>0.7</v>
      </c>
      <c r="Q68" s="13">
        <v>678000</v>
      </c>
      <c r="R68" s="48">
        <v>0.7</v>
      </c>
      <c r="S68" s="13">
        <v>750000</v>
      </c>
      <c r="T68" s="48">
        <v>0.88561484918793498</v>
      </c>
      <c r="U68" s="13">
        <v>530000</v>
      </c>
      <c r="V68" s="48">
        <v>0.6</v>
      </c>
      <c r="W68" s="13">
        <v>510000</v>
      </c>
      <c r="X68" s="48">
        <v>0.59164733178654294</v>
      </c>
      <c r="Y68" s="109"/>
      <c r="Z68" s="104"/>
      <c r="AA68" s="104"/>
      <c r="AB68" s="121"/>
      <c r="AD68" s="97"/>
      <c r="AE68" s="31"/>
      <c r="AF68" s="31"/>
    </row>
    <row r="69" spans="1:32">
      <c r="A69" s="849"/>
      <c r="C69" s="57" t="s">
        <v>168</v>
      </c>
      <c r="D69" s="142"/>
      <c r="E69" s="148"/>
      <c r="F69" s="148"/>
      <c r="G69" s="142"/>
      <c r="H69" s="148"/>
      <c r="I69" s="142"/>
      <c r="J69" s="148"/>
      <c r="K69" s="11"/>
      <c r="L69" s="45"/>
      <c r="M69" s="11"/>
      <c r="N69" s="45"/>
      <c r="O69" s="11">
        <v>130000</v>
      </c>
      <c r="P69" s="45">
        <v>0.1</v>
      </c>
      <c r="Q69" s="11">
        <v>220000</v>
      </c>
      <c r="R69" s="45">
        <v>0.2</v>
      </c>
      <c r="S69" s="11">
        <v>180010</v>
      </c>
      <c r="T69" s="45">
        <v>0.20882830626450119</v>
      </c>
      <c r="U69" s="11">
        <v>150010</v>
      </c>
      <c r="V69" s="45">
        <v>0.20882830626450119</v>
      </c>
      <c r="W69" s="11">
        <v>180010</v>
      </c>
      <c r="X69" s="45">
        <v>0.20882830626450119</v>
      </c>
      <c r="Y69" s="109"/>
      <c r="Z69" s="104"/>
      <c r="AA69" s="104"/>
      <c r="AB69" s="121"/>
      <c r="AD69" s="97"/>
      <c r="AE69" s="31"/>
      <c r="AF69" s="31"/>
    </row>
    <row r="70" spans="1:32" ht="14.25" customHeight="1">
      <c r="A70" s="849"/>
      <c r="B70" s="56"/>
      <c r="C70" s="19" t="s">
        <v>196</v>
      </c>
      <c r="D70" s="72">
        <f>D18</f>
        <v>500000</v>
      </c>
      <c r="E70" s="151">
        <f>E18</f>
        <v>0.4</v>
      </c>
      <c r="F70" s="151"/>
      <c r="G70" s="72">
        <v>500000</v>
      </c>
      <c r="H70" s="151">
        <v>0.5</v>
      </c>
      <c r="I70" s="72">
        <v>380000</v>
      </c>
      <c r="J70" s="151">
        <v>0.4</v>
      </c>
      <c r="K70" s="142">
        <v>300000</v>
      </c>
      <c r="L70" s="148">
        <v>0.30000000000000004</v>
      </c>
      <c r="M70" s="142">
        <v>260000</v>
      </c>
      <c r="N70" s="148">
        <v>0.2</v>
      </c>
      <c r="O70" s="142"/>
      <c r="P70" s="148"/>
      <c r="Q70" s="142"/>
      <c r="R70" s="148"/>
      <c r="S70" s="11">
        <v>270000</v>
      </c>
      <c r="T70" s="45">
        <v>0.3</v>
      </c>
      <c r="U70" s="11">
        <v>270000</v>
      </c>
      <c r="V70" s="45">
        <v>0.3</v>
      </c>
      <c r="W70" s="11">
        <v>270000</v>
      </c>
      <c r="X70" s="45">
        <v>0.3132250580046404</v>
      </c>
      <c r="Y70" s="109"/>
      <c r="Z70" s="104"/>
      <c r="AA70" s="104"/>
      <c r="AB70" s="121"/>
      <c r="AD70" s="97"/>
      <c r="AE70" s="31"/>
      <c r="AF70" s="31"/>
    </row>
    <row r="71" spans="1:32" s="4" customFormat="1" ht="14.25" customHeight="1">
      <c r="A71" s="849"/>
      <c r="B71" s="18"/>
      <c r="C71" s="19" t="s">
        <v>191</v>
      </c>
      <c r="D71" s="11">
        <f>D22</f>
        <v>170000</v>
      </c>
      <c r="E71" s="95">
        <f>E22</f>
        <v>0.1</v>
      </c>
      <c r="F71" s="95"/>
      <c r="G71" s="11">
        <v>120000</v>
      </c>
      <c r="H71" s="95">
        <v>0.1</v>
      </c>
      <c r="I71" s="11">
        <v>120000</v>
      </c>
      <c r="J71" s="95">
        <v>0.1</v>
      </c>
      <c r="K71" s="72">
        <v>90000</v>
      </c>
      <c r="L71" s="147">
        <v>0.1</v>
      </c>
      <c r="M71" s="142">
        <v>130000</v>
      </c>
      <c r="N71" s="143">
        <v>0.1</v>
      </c>
      <c r="O71" s="142">
        <v>60000</v>
      </c>
      <c r="P71" s="143">
        <v>0.1</v>
      </c>
      <c r="Q71" s="142"/>
      <c r="R71" s="143"/>
      <c r="S71" s="142"/>
      <c r="T71" s="144"/>
      <c r="U71" s="142"/>
      <c r="V71" s="144"/>
      <c r="W71" s="142"/>
      <c r="X71" s="145"/>
      <c r="Y71" s="109"/>
      <c r="Z71" s="104"/>
      <c r="AA71" s="104"/>
      <c r="AE71" s="100"/>
    </row>
    <row r="72" spans="1:32">
      <c r="A72" s="849"/>
      <c r="B72" s="56"/>
      <c r="C72" s="57" t="s">
        <v>19</v>
      </c>
      <c r="D72" s="58">
        <f>D26</f>
        <v>20000</v>
      </c>
      <c r="E72" s="59">
        <f>E26</f>
        <v>0</v>
      </c>
      <c r="F72" s="59"/>
      <c r="G72" s="58">
        <v>20000</v>
      </c>
      <c r="H72" s="59">
        <v>0</v>
      </c>
      <c r="I72" s="58">
        <v>30000</v>
      </c>
      <c r="J72" s="59">
        <v>0</v>
      </c>
      <c r="K72" s="58">
        <v>30000</v>
      </c>
      <c r="L72" s="59">
        <v>0</v>
      </c>
      <c r="M72" s="58">
        <v>40000</v>
      </c>
      <c r="N72" s="59">
        <v>0</v>
      </c>
      <c r="O72" s="58">
        <v>60000</v>
      </c>
      <c r="P72" s="59">
        <v>0.1</v>
      </c>
      <c r="Q72" s="58">
        <v>60000</v>
      </c>
      <c r="R72" s="59">
        <v>0.1</v>
      </c>
      <c r="S72" s="58">
        <v>80000</v>
      </c>
      <c r="T72" s="59">
        <v>0.11600928074245939</v>
      </c>
      <c r="U72" s="58">
        <v>90000</v>
      </c>
      <c r="V72" s="59">
        <v>0.11600928074245939</v>
      </c>
      <c r="W72" s="58">
        <v>100000</v>
      </c>
      <c r="X72" s="59">
        <v>0.11600928074245939</v>
      </c>
      <c r="Y72" s="109"/>
      <c r="Z72" s="104"/>
      <c r="AA72" s="104"/>
      <c r="AB72" s="121"/>
      <c r="AC72" s="16"/>
      <c r="AD72" s="97"/>
      <c r="AE72" s="31"/>
      <c r="AF72" s="31"/>
    </row>
    <row r="73" spans="1:32">
      <c r="A73" s="849"/>
      <c r="B73" s="49"/>
      <c r="C73" s="60" t="s">
        <v>24</v>
      </c>
      <c r="D73" s="58">
        <f>D25</f>
        <v>42000</v>
      </c>
      <c r="E73" s="59">
        <f>E25</f>
        <v>0</v>
      </c>
      <c r="F73" s="59"/>
      <c r="G73" s="58">
        <v>42000</v>
      </c>
      <c r="H73" s="59">
        <v>0</v>
      </c>
      <c r="I73" s="58">
        <v>42000</v>
      </c>
      <c r="J73" s="59">
        <v>0</v>
      </c>
      <c r="K73" s="58">
        <v>42000</v>
      </c>
      <c r="L73" s="59">
        <v>0</v>
      </c>
      <c r="M73" s="58">
        <v>41000</v>
      </c>
      <c r="N73" s="59">
        <v>0</v>
      </c>
      <c r="O73" s="58">
        <v>48000</v>
      </c>
      <c r="P73" s="59">
        <v>0</v>
      </c>
      <c r="Q73" s="58">
        <v>48000</v>
      </c>
      <c r="R73" s="59">
        <v>0</v>
      </c>
      <c r="S73" s="58">
        <v>50000</v>
      </c>
      <c r="T73" s="59">
        <v>6.9605568445475635E-2</v>
      </c>
      <c r="U73" s="58">
        <v>50000</v>
      </c>
      <c r="V73" s="59">
        <v>6.9605568445475635E-2</v>
      </c>
      <c r="W73" s="58">
        <v>60000</v>
      </c>
      <c r="X73" s="59">
        <v>6.9605568445475635E-2</v>
      </c>
      <c r="Y73" s="109"/>
      <c r="Z73" s="104"/>
      <c r="AA73" s="104"/>
      <c r="AB73" s="121"/>
      <c r="AC73" s="61"/>
      <c r="AD73" s="97"/>
      <c r="AE73" s="31"/>
      <c r="AF73" s="31"/>
    </row>
    <row r="74" spans="1:32">
      <c r="A74" s="849"/>
      <c r="B74" s="49"/>
      <c r="C74" s="19" t="s">
        <v>83</v>
      </c>
      <c r="D74" s="11">
        <f>D19</f>
        <v>250000</v>
      </c>
      <c r="E74" s="45">
        <f>E19</f>
        <v>0.2</v>
      </c>
      <c r="F74" s="45"/>
      <c r="G74" s="11">
        <v>250000</v>
      </c>
      <c r="H74" s="45">
        <v>0.2</v>
      </c>
      <c r="I74" s="11">
        <v>200000</v>
      </c>
      <c r="J74" s="45">
        <v>0.2</v>
      </c>
      <c r="K74" s="11">
        <v>190000</v>
      </c>
      <c r="L74" s="45">
        <v>0.2</v>
      </c>
      <c r="M74" s="11">
        <v>200000</v>
      </c>
      <c r="N74" s="45">
        <v>0.2</v>
      </c>
      <c r="O74" s="11">
        <v>230000</v>
      </c>
      <c r="P74" s="45">
        <v>0.2</v>
      </c>
      <c r="Q74" s="11">
        <v>200000</v>
      </c>
      <c r="R74" s="45">
        <v>0.2</v>
      </c>
      <c r="S74" s="11">
        <v>200000</v>
      </c>
      <c r="T74" s="45">
        <v>0.2</v>
      </c>
      <c r="U74" s="11">
        <v>70000</v>
      </c>
      <c r="V74" s="45">
        <v>5.8004640371229696E-2</v>
      </c>
      <c r="W74" s="11">
        <v>50000</v>
      </c>
      <c r="X74" s="45">
        <v>5.8004640371229696E-2</v>
      </c>
      <c r="Y74" s="109"/>
      <c r="Z74" s="104"/>
      <c r="AA74" s="104"/>
      <c r="AB74" s="121"/>
      <c r="AD74" s="97"/>
      <c r="AE74" s="31"/>
      <c r="AF74" s="31"/>
    </row>
    <row r="75" spans="1:32">
      <c r="A75" s="849"/>
      <c r="B75" s="49"/>
      <c r="C75" s="62" t="s">
        <v>84</v>
      </c>
      <c r="D75" s="51">
        <f>D20</f>
        <v>200000</v>
      </c>
      <c r="E75" s="52">
        <f>E20</f>
        <v>0.2</v>
      </c>
      <c r="F75" s="52"/>
      <c r="G75" s="51">
        <v>200000</v>
      </c>
      <c r="H75" s="52">
        <v>0.2</v>
      </c>
      <c r="I75" s="51">
        <v>200000</v>
      </c>
      <c r="J75" s="52">
        <v>0.2</v>
      </c>
      <c r="K75" s="51">
        <v>200000</v>
      </c>
      <c r="L75" s="52">
        <v>0.2</v>
      </c>
      <c r="M75" s="51">
        <v>200000</v>
      </c>
      <c r="N75" s="52">
        <v>0.2</v>
      </c>
      <c r="O75" s="51">
        <v>200000</v>
      </c>
      <c r="P75" s="52">
        <v>0.2</v>
      </c>
      <c r="Q75" s="51">
        <v>150000</v>
      </c>
      <c r="R75" s="52">
        <v>0.2</v>
      </c>
      <c r="S75" s="51">
        <v>150000</v>
      </c>
      <c r="T75" s="52">
        <v>0.2</v>
      </c>
      <c r="U75" s="51">
        <v>50000</v>
      </c>
      <c r="V75" s="52">
        <v>3.4802784222737818E-2</v>
      </c>
      <c r="W75" s="51">
        <v>30000</v>
      </c>
      <c r="X75" s="52">
        <v>3.4802784222737818E-2</v>
      </c>
      <c r="Y75" s="109"/>
      <c r="Z75" s="104"/>
      <c r="AA75" s="104"/>
      <c r="AB75" s="121"/>
      <c r="AD75" s="97"/>
      <c r="AE75" s="31"/>
      <c r="AF75" s="31"/>
    </row>
    <row r="76" spans="1:32" ht="15" thickBot="1">
      <c r="A76" s="850"/>
      <c r="B76" s="63"/>
      <c r="C76" s="64" t="s">
        <v>81</v>
      </c>
      <c r="D76" s="65">
        <f>SUM(D61:D68)</f>
        <v>55175410</v>
      </c>
      <c r="E76" s="66">
        <f>+SUM(E61:E68)</f>
        <v>47.600000000000009</v>
      </c>
      <c r="F76" s="66"/>
      <c r="G76" s="65">
        <v>50351260</v>
      </c>
      <c r="H76" s="66">
        <v>45</v>
      </c>
      <c r="I76" s="65">
        <v>49658070</v>
      </c>
      <c r="J76" s="66">
        <v>46.9</v>
      </c>
      <c r="K76" s="65">
        <v>48760290</v>
      </c>
      <c r="L76" s="66">
        <v>47.2</v>
      </c>
      <c r="M76" s="65">
        <v>48434865</v>
      </c>
      <c r="N76" s="66">
        <v>45.7</v>
      </c>
      <c r="O76" s="65">
        <v>40801705</v>
      </c>
      <c r="P76" s="66">
        <v>41.500000000000007</v>
      </c>
      <c r="Q76" s="65">
        <v>36278075</v>
      </c>
      <c r="R76" s="66">
        <v>39.500000000000007</v>
      </c>
      <c r="S76" s="65">
        <v>35186840</v>
      </c>
      <c r="T76" s="66">
        <v>39.694443155452447</v>
      </c>
      <c r="U76" s="65">
        <v>34653540</v>
      </c>
      <c r="V76" s="66">
        <v>38.5</v>
      </c>
      <c r="W76" s="65">
        <v>33261650</v>
      </c>
      <c r="X76" s="66">
        <v>38.586600928074247</v>
      </c>
      <c r="Y76" s="112"/>
      <c r="Z76" s="113"/>
      <c r="AA76" s="113"/>
      <c r="AB76" s="121"/>
      <c r="AD76" s="97"/>
      <c r="AE76" s="31"/>
      <c r="AF76" s="31"/>
    </row>
    <row r="77" spans="1:32" ht="15.75" thickTop="1" thickBot="1">
      <c r="A77" s="846" t="s">
        <v>53</v>
      </c>
      <c r="B77" s="847"/>
      <c r="C77" s="847"/>
      <c r="D77" s="25">
        <f>SUM(D76,D60)</f>
        <v>115700000</v>
      </c>
      <c r="E77" s="67">
        <f>+E60+E76</f>
        <v>100</v>
      </c>
      <c r="F77" s="67"/>
      <c r="G77" s="25">
        <v>111800000</v>
      </c>
      <c r="H77" s="67">
        <v>100</v>
      </c>
      <c r="I77" s="25">
        <v>106000000</v>
      </c>
      <c r="J77" s="67">
        <v>100</v>
      </c>
      <c r="K77" s="25">
        <v>103200000</v>
      </c>
      <c r="L77" s="67">
        <v>100</v>
      </c>
      <c r="M77" s="25">
        <v>105600000</v>
      </c>
      <c r="N77" s="67">
        <v>100</v>
      </c>
      <c r="O77" s="25">
        <v>98300000</v>
      </c>
      <c r="P77" s="67">
        <v>100.00002320185615</v>
      </c>
      <c r="Q77" s="25">
        <v>91500000</v>
      </c>
      <c r="R77" s="67">
        <v>100.00002320185615</v>
      </c>
      <c r="S77" s="25">
        <v>88400000</v>
      </c>
      <c r="T77" s="67">
        <v>99.994466357308596</v>
      </c>
      <c r="U77" s="25">
        <v>89900000</v>
      </c>
      <c r="V77" s="67">
        <v>100</v>
      </c>
      <c r="W77" s="25">
        <v>86200000</v>
      </c>
      <c r="X77" s="67">
        <v>100</v>
      </c>
      <c r="Y77" s="112"/>
      <c r="Z77" s="113"/>
      <c r="AA77" s="113"/>
      <c r="AB77" s="121"/>
      <c r="AD77" s="97"/>
      <c r="AE77" s="31"/>
      <c r="AF77" s="31"/>
    </row>
    <row r="80" spans="1:32" ht="15" thickBot="1">
      <c r="A80" s="1" t="s">
        <v>125</v>
      </c>
    </row>
    <row r="81" spans="1:31" s="4" customFormat="1" ht="14.25" customHeight="1">
      <c r="A81" s="805" t="s">
        <v>126</v>
      </c>
      <c r="B81" s="806"/>
      <c r="C81" s="807"/>
      <c r="D81" s="7" t="str">
        <f>D3</f>
        <v>令和6年度</v>
      </c>
      <c r="E81" s="8" t="str">
        <f>E3</f>
        <v>構成比</v>
      </c>
      <c r="F81" s="8"/>
      <c r="G81" s="341" t="str">
        <f>G3</f>
        <v>令和5年度</v>
      </c>
      <c r="H81" s="342" t="str">
        <f>H3</f>
        <v>構成比</v>
      </c>
      <c r="I81" s="7" t="str">
        <f>I3</f>
        <v>令和4年度</v>
      </c>
      <c r="J81" s="8" t="s">
        <v>202</v>
      </c>
      <c r="K81" s="7" t="str">
        <f t="shared" ref="K81:X81" si="4">K3</f>
        <v>令和3年度</v>
      </c>
      <c r="L81" s="8" t="str">
        <f t="shared" si="4"/>
        <v>構成比</v>
      </c>
      <c r="M81" s="7" t="str">
        <f t="shared" si="4"/>
        <v>令和2年度</v>
      </c>
      <c r="N81" s="8" t="str">
        <f t="shared" si="4"/>
        <v>構成比</v>
      </c>
      <c r="O81" s="7" t="str">
        <f t="shared" si="4"/>
        <v>令和元年度</v>
      </c>
      <c r="P81" s="8" t="str">
        <f t="shared" si="4"/>
        <v>構成比</v>
      </c>
      <c r="Q81" s="7" t="str">
        <f t="shared" si="4"/>
        <v>平成30年度</v>
      </c>
      <c r="R81" s="8" t="str">
        <f t="shared" si="4"/>
        <v>構成比</v>
      </c>
      <c r="S81" s="7" t="str">
        <f t="shared" si="4"/>
        <v>平成28年度</v>
      </c>
      <c r="T81" s="8" t="str">
        <f t="shared" si="4"/>
        <v>構成比</v>
      </c>
      <c r="U81" s="7" t="str">
        <f t="shared" si="4"/>
        <v>平成27年度</v>
      </c>
      <c r="V81" s="8" t="str">
        <f t="shared" si="4"/>
        <v>構成比</v>
      </c>
      <c r="W81" s="7" t="str">
        <f t="shared" si="4"/>
        <v>平成26年度</v>
      </c>
      <c r="X81" s="8" t="str">
        <f t="shared" si="4"/>
        <v>構成比</v>
      </c>
      <c r="Y81" s="107"/>
      <c r="Z81" s="108"/>
      <c r="AA81" s="108"/>
      <c r="AB81" s="108"/>
      <c r="AE81" s="100"/>
    </row>
    <row r="82" spans="1:31" ht="17.25" customHeight="1">
      <c r="A82" s="845" t="s">
        <v>64</v>
      </c>
      <c r="B82" s="821"/>
      <c r="C82" s="821"/>
      <c r="D82" s="9">
        <v>32291580</v>
      </c>
      <c r="E82" s="70">
        <f t="shared" ref="E82:E91" si="5">ROUND(D82/$D$98*100,1)</f>
        <v>27.9</v>
      </c>
      <c r="F82" s="461">
        <f>D82/D98</f>
        <v>0.27909749351771823</v>
      </c>
      <c r="G82" s="9">
        <v>31231840</v>
      </c>
      <c r="H82" s="70">
        <v>27.9</v>
      </c>
      <c r="I82" s="9">
        <v>30653640</v>
      </c>
      <c r="J82" s="70">
        <v>28.9</v>
      </c>
      <c r="K82" s="9">
        <v>30630610</v>
      </c>
      <c r="L82" s="70">
        <v>29.7</v>
      </c>
      <c r="M82" s="9">
        <v>29140900</v>
      </c>
      <c r="N82" s="70">
        <v>27.6</v>
      </c>
      <c r="O82" s="9">
        <v>26500460</v>
      </c>
      <c r="P82" s="70">
        <v>27</v>
      </c>
      <c r="Q82" s="9">
        <v>25294150</v>
      </c>
      <c r="R82" s="70">
        <v>27.6</v>
      </c>
      <c r="S82" s="9">
        <v>22891260</v>
      </c>
      <c r="T82" s="70">
        <v>25.9</v>
      </c>
      <c r="U82" s="9">
        <v>21487080</v>
      </c>
      <c r="V82" s="70">
        <v>23.9</v>
      </c>
      <c r="W82" s="9">
        <v>19812990</v>
      </c>
      <c r="X82" s="139">
        <v>23.5</v>
      </c>
      <c r="Y82" s="124"/>
      <c r="Z82" s="122"/>
      <c r="AA82" s="122"/>
      <c r="AB82" s="123"/>
    </row>
    <row r="83" spans="1:31" ht="17.25" customHeight="1">
      <c r="A83" s="843" t="s">
        <v>37</v>
      </c>
      <c r="B83" s="844"/>
      <c r="C83" s="844"/>
      <c r="D83" s="149">
        <f>23174080-250000</f>
        <v>22924080</v>
      </c>
      <c r="E83" s="74">
        <f t="shared" si="5"/>
        <v>19.8</v>
      </c>
      <c r="F83" s="461">
        <f>D83/D98</f>
        <v>0.19813379429559205</v>
      </c>
      <c r="G83" s="149">
        <v>22147190</v>
      </c>
      <c r="H83" s="74">
        <v>19.8</v>
      </c>
      <c r="I83" s="149">
        <v>22112190</v>
      </c>
      <c r="J83" s="74">
        <v>20.9</v>
      </c>
      <c r="K83" s="58">
        <v>21398490</v>
      </c>
      <c r="L83" s="74">
        <v>20.7</v>
      </c>
      <c r="M83" s="58">
        <v>21043985</v>
      </c>
      <c r="N83" s="74">
        <v>19.899999999999999</v>
      </c>
      <c r="O83" s="58">
        <v>18916210</v>
      </c>
      <c r="P83" s="74">
        <v>19.2</v>
      </c>
      <c r="Q83" s="58">
        <v>18644000</v>
      </c>
      <c r="R83" s="74">
        <v>20.399999999999999</v>
      </c>
      <c r="S83" s="58">
        <v>18289030</v>
      </c>
      <c r="T83" s="74">
        <v>20.7</v>
      </c>
      <c r="U83" s="58">
        <v>18472950</v>
      </c>
      <c r="V83" s="74">
        <v>20.5</v>
      </c>
      <c r="W83" s="58">
        <v>17601730</v>
      </c>
      <c r="X83" s="74">
        <v>20.8</v>
      </c>
      <c r="Y83" s="124"/>
      <c r="Z83" s="122"/>
      <c r="AA83" s="122"/>
      <c r="AB83" s="123"/>
    </row>
    <row r="84" spans="1:31" ht="17.25" customHeight="1">
      <c r="A84" s="828" t="s">
        <v>66</v>
      </c>
      <c r="B84" s="808"/>
      <c r="C84" s="808"/>
      <c r="D84" s="72">
        <v>19085382</v>
      </c>
      <c r="E84" s="71">
        <f t="shared" si="5"/>
        <v>16.5</v>
      </c>
      <c r="F84" s="461">
        <f>D84/D98</f>
        <v>0.16495576490924804</v>
      </c>
      <c r="G84" s="72">
        <v>20794477</v>
      </c>
      <c r="H84" s="71">
        <v>18.600000000000001</v>
      </c>
      <c r="I84" s="72">
        <v>18642234</v>
      </c>
      <c r="J84" s="71">
        <v>17.600000000000001</v>
      </c>
      <c r="K84" s="72">
        <v>18135982</v>
      </c>
      <c r="L84" s="71">
        <v>17.600000000000001</v>
      </c>
      <c r="M84" s="72">
        <v>16069008</v>
      </c>
      <c r="N84" s="71">
        <v>15.2</v>
      </c>
      <c r="O84" s="72">
        <v>18378517</v>
      </c>
      <c r="P84" s="71">
        <v>18.7</v>
      </c>
      <c r="Q84" s="72">
        <v>16317772</v>
      </c>
      <c r="R84" s="71">
        <v>17.8</v>
      </c>
      <c r="S84" s="72">
        <v>15347757</v>
      </c>
      <c r="T84" s="71">
        <v>17.399999999999999</v>
      </c>
      <c r="U84" s="72">
        <v>15534240</v>
      </c>
      <c r="V84" s="71">
        <v>17.3</v>
      </c>
      <c r="W84" s="72">
        <v>14609755</v>
      </c>
      <c r="X84" s="71">
        <v>16.3</v>
      </c>
      <c r="Y84" s="124"/>
      <c r="Z84" s="122"/>
      <c r="AA84" s="122"/>
      <c r="AB84" s="123"/>
    </row>
    <row r="85" spans="1:31" ht="17.25" customHeight="1">
      <c r="A85" s="817" t="s">
        <v>127</v>
      </c>
      <c r="B85" s="818"/>
      <c r="C85" s="819"/>
      <c r="D85" s="68">
        <f>SUM(D86:D88)</f>
        <v>12913750</v>
      </c>
      <c r="E85" s="69">
        <f t="shared" si="5"/>
        <v>11.2</v>
      </c>
      <c r="F85" s="461">
        <f>D85/D98</f>
        <v>0.11161408815903198</v>
      </c>
      <c r="G85" s="68">
        <v>11157870</v>
      </c>
      <c r="H85" s="69">
        <v>10</v>
      </c>
      <c r="I85" s="68">
        <v>8454940</v>
      </c>
      <c r="J85" s="69">
        <v>8</v>
      </c>
      <c r="K85" s="68">
        <v>6307320</v>
      </c>
      <c r="L85" s="69">
        <v>6.1</v>
      </c>
      <c r="M85" s="68">
        <v>13979750</v>
      </c>
      <c r="N85" s="69">
        <v>13.2</v>
      </c>
      <c r="O85" s="68">
        <v>8583110</v>
      </c>
      <c r="P85" s="69">
        <v>8.6999999999999993</v>
      </c>
      <c r="Q85" s="68">
        <v>5915510</v>
      </c>
      <c r="R85" s="69">
        <v>6.5</v>
      </c>
      <c r="S85" s="68">
        <v>6281780</v>
      </c>
      <c r="T85" s="69">
        <v>7.1</v>
      </c>
      <c r="U85" s="68">
        <v>9150210</v>
      </c>
      <c r="V85" s="69">
        <v>10.199999999999999</v>
      </c>
      <c r="W85" s="68">
        <v>8463280</v>
      </c>
      <c r="X85" s="69">
        <v>9.3999999999999986</v>
      </c>
      <c r="Y85" s="124"/>
      <c r="Z85" s="122"/>
      <c r="AA85" s="122"/>
      <c r="AB85" s="123"/>
    </row>
    <row r="86" spans="1:31" ht="17.25" customHeight="1">
      <c r="A86" s="840"/>
      <c r="B86" s="792" t="s">
        <v>72</v>
      </c>
      <c r="C86" s="793"/>
      <c r="D86" s="9">
        <v>2147300</v>
      </c>
      <c r="E86" s="70">
        <f t="shared" si="5"/>
        <v>1.9</v>
      </c>
      <c r="F86" s="461">
        <f>D86/D98</f>
        <v>1.8559204840103715E-2</v>
      </c>
      <c r="G86" s="9">
        <v>1941700</v>
      </c>
      <c r="H86" s="70">
        <v>1.7</v>
      </c>
      <c r="I86" s="9">
        <v>2072000</v>
      </c>
      <c r="J86" s="70">
        <v>2</v>
      </c>
      <c r="K86" s="9">
        <v>1698700</v>
      </c>
      <c r="L86" s="70">
        <v>1.6</v>
      </c>
      <c r="M86" s="9">
        <v>2467400</v>
      </c>
      <c r="N86" s="70">
        <v>2.2999999999999998</v>
      </c>
      <c r="O86" s="9">
        <v>2897880</v>
      </c>
      <c r="P86" s="70">
        <v>2.9</v>
      </c>
      <c r="Q86" s="9">
        <v>2383960</v>
      </c>
      <c r="R86" s="70">
        <v>2.6</v>
      </c>
      <c r="S86" s="9">
        <v>2057700</v>
      </c>
      <c r="T86" s="70">
        <v>2.2999999999999998</v>
      </c>
      <c r="U86" s="9">
        <v>2127200</v>
      </c>
      <c r="V86" s="70">
        <v>2.4</v>
      </c>
      <c r="W86" s="9">
        <v>2053500</v>
      </c>
      <c r="X86" s="70">
        <v>2.8</v>
      </c>
      <c r="Y86" s="124"/>
      <c r="Z86" s="122"/>
      <c r="AA86" s="122"/>
      <c r="AB86" s="123"/>
    </row>
    <row r="87" spans="1:31" ht="17.25" customHeight="1">
      <c r="A87" s="840"/>
      <c r="B87" s="794" t="s">
        <v>73</v>
      </c>
      <c r="C87" s="795"/>
      <c r="D87" s="150">
        <f>10404950+250000</f>
        <v>10654950</v>
      </c>
      <c r="E87" s="71">
        <f t="shared" si="5"/>
        <v>9.1999999999999993</v>
      </c>
      <c r="F87" s="461">
        <f>D87/D98</f>
        <v>9.2091184096802073E-2</v>
      </c>
      <c r="G87" s="150">
        <v>9132770</v>
      </c>
      <c r="H87" s="71">
        <v>8.1999999999999993</v>
      </c>
      <c r="I87" s="150">
        <v>6336040</v>
      </c>
      <c r="J87" s="71">
        <v>6</v>
      </c>
      <c r="K87" s="11">
        <v>4553820</v>
      </c>
      <c r="L87" s="71">
        <v>4.4000000000000004</v>
      </c>
      <c r="M87" s="11">
        <v>11391350</v>
      </c>
      <c r="N87" s="71">
        <v>10.8</v>
      </c>
      <c r="O87" s="11">
        <v>5586530</v>
      </c>
      <c r="P87" s="71">
        <v>5.7</v>
      </c>
      <c r="Q87" s="11">
        <v>3433150</v>
      </c>
      <c r="R87" s="71">
        <v>3.8</v>
      </c>
      <c r="S87" s="11">
        <v>4146180</v>
      </c>
      <c r="T87" s="71">
        <v>4.7</v>
      </c>
      <c r="U87" s="11">
        <v>6976310</v>
      </c>
      <c r="V87" s="71">
        <v>7.8</v>
      </c>
      <c r="W87" s="11">
        <v>6390580</v>
      </c>
      <c r="X87" s="71">
        <v>6.4</v>
      </c>
      <c r="Y87" s="124"/>
      <c r="Z87" s="122"/>
      <c r="AA87" s="122"/>
      <c r="AB87" s="123"/>
    </row>
    <row r="88" spans="1:31" ht="17.25" customHeight="1">
      <c r="A88" s="840"/>
      <c r="B88" s="799" t="s">
        <v>74</v>
      </c>
      <c r="C88" s="827"/>
      <c r="D88" s="11">
        <v>111500</v>
      </c>
      <c r="E88" s="71">
        <f t="shared" si="5"/>
        <v>0.1</v>
      </c>
      <c r="F88" s="461">
        <f>D88/D98</f>
        <v>9.6369922212618847E-4</v>
      </c>
      <c r="G88" s="11">
        <v>83400</v>
      </c>
      <c r="H88" s="71">
        <v>0.1</v>
      </c>
      <c r="I88" s="11">
        <v>46900</v>
      </c>
      <c r="J88" s="71">
        <v>0</v>
      </c>
      <c r="K88" s="11">
        <v>54800</v>
      </c>
      <c r="L88" s="71">
        <v>0.1</v>
      </c>
      <c r="M88" s="11">
        <v>121000</v>
      </c>
      <c r="N88" s="71">
        <v>0.1</v>
      </c>
      <c r="O88" s="11">
        <v>98700</v>
      </c>
      <c r="P88" s="71">
        <v>0.1</v>
      </c>
      <c r="Q88" s="11">
        <v>98400</v>
      </c>
      <c r="R88" s="71">
        <v>0.1</v>
      </c>
      <c r="S88" s="11">
        <v>77900</v>
      </c>
      <c r="T88" s="71">
        <v>0.1</v>
      </c>
      <c r="U88" s="11">
        <v>46700</v>
      </c>
      <c r="V88" s="71">
        <v>0</v>
      </c>
      <c r="W88" s="11">
        <v>19200</v>
      </c>
      <c r="X88" s="140">
        <v>0.2</v>
      </c>
      <c r="Y88" s="124"/>
      <c r="Z88" s="122"/>
      <c r="AA88" s="122"/>
      <c r="AB88" s="123"/>
    </row>
    <row r="89" spans="1:31" ht="17.25" customHeight="1">
      <c r="A89" s="828" t="s">
        <v>177</v>
      </c>
      <c r="B89" s="808"/>
      <c r="C89" s="795"/>
      <c r="D89" s="73">
        <v>11699927</v>
      </c>
      <c r="E89" s="74">
        <f t="shared" si="5"/>
        <v>10.1</v>
      </c>
      <c r="F89" s="461">
        <f>D89/D98</f>
        <v>0.10112296456352636</v>
      </c>
      <c r="G89" s="73">
        <v>10144391</v>
      </c>
      <c r="H89" s="74">
        <v>9.1</v>
      </c>
      <c r="I89" s="73">
        <v>9957601</v>
      </c>
      <c r="J89" s="74">
        <v>9.4</v>
      </c>
      <c r="K89" s="73">
        <v>10405693</v>
      </c>
      <c r="L89" s="74">
        <v>10.1</v>
      </c>
      <c r="M89" s="73">
        <v>9908398</v>
      </c>
      <c r="N89" s="74">
        <v>9.4</v>
      </c>
      <c r="O89" s="73">
        <v>8056997</v>
      </c>
      <c r="P89" s="74">
        <v>8.1999999999999993</v>
      </c>
      <c r="Q89" s="73">
        <v>7440897</v>
      </c>
      <c r="R89" s="74">
        <v>8.1</v>
      </c>
      <c r="S89" s="73">
        <v>7519479</v>
      </c>
      <c r="T89" s="74">
        <v>8.5</v>
      </c>
      <c r="U89" s="73">
        <v>8105753</v>
      </c>
      <c r="V89" s="74">
        <v>9</v>
      </c>
      <c r="W89" s="73">
        <v>8476160</v>
      </c>
      <c r="X89" s="74">
        <v>9.9</v>
      </c>
      <c r="Y89" s="124"/>
      <c r="Z89" s="122"/>
      <c r="AA89" s="122"/>
      <c r="AB89" s="123"/>
    </row>
    <row r="90" spans="1:31" ht="17.25" customHeight="1">
      <c r="A90" s="828" t="s">
        <v>71</v>
      </c>
      <c r="B90" s="808"/>
      <c r="C90" s="808"/>
      <c r="D90" s="72">
        <v>8230600</v>
      </c>
      <c r="E90" s="71">
        <f t="shared" si="5"/>
        <v>7.1</v>
      </c>
      <c r="F90" s="461">
        <f>D90/D98</f>
        <v>7.1137424373379429E-2</v>
      </c>
      <c r="G90" s="72">
        <v>7821500</v>
      </c>
      <c r="H90" s="71">
        <v>7</v>
      </c>
      <c r="I90" s="72">
        <v>7793800</v>
      </c>
      <c r="J90" s="71">
        <v>7.3000000000000007</v>
      </c>
      <c r="K90" s="72">
        <v>7993440</v>
      </c>
      <c r="L90" s="71">
        <v>7.7</v>
      </c>
      <c r="M90" s="72">
        <v>7249020</v>
      </c>
      <c r="N90" s="71">
        <v>6.9</v>
      </c>
      <c r="O90" s="72">
        <v>9704630</v>
      </c>
      <c r="P90" s="71">
        <v>9.9</v>
      </c>
      <c r="Q90" s="72">
        <v>10023400</v>
      </c>
      <c r="R90" s="71">
        <v>11</v>
      </c>
      <c r="S90" s="72">
        <v>10005000</v>
      </c>
      <c r="T90" s="71">
        <v>11.3</v>
      </c>
      <c r="U90" s="72">
        <v>9037600</v>
      </c>
      <c r="V90" s="71">
        <v>10.1</v>
      </c>
      <c r="W90" s="72">
        <v>8436000</v>
      </c>
      <c r="X90" s="71">
        <v>10.3</v>
      </c>
      <c r="Y90" s="124"/>
      <c r="Z90" s="122"/>
      <c r="AA90" s="122"/>
      <c r="AB90" s="123"/>
    </row>
    <row r="91" spans="1:31" ht="17.25" customHeight="1">
      <c r="A91" s="828" t="s">
        <v>60</v>
      </c>
      <c r="B91" s="808"/>
      <c r="C91" s="808"/>
      <c r="D91" s="72">
        <v>7727231</v>
      </c>
      <c r="E91" s="71">
        <f t="shared" si="5"/>
        <v>6.7</v>
      </c>
      <c r="F91" s="461">
        <f>D91/D98</f>
        <v>6.6786784788245457E-2</v>
      </c>
      <c r="G91" s="72">
        <v>7783532</v>
      </c>
      <c r="H91" s="71">
        <v>7</v>
      </c>
      <c r="I91" s="72">
        <v>7697155</v>
      </c>
      <c r="J91" s="71">
        <v>7.3</v>
      </c>
      <c r="K91" s="72">
        <v>7512905</v>
      </c>
      <c r="L91" s="71">
        <v>7.3</v>
      </c>
      <c r="M91" s="72">
        <v>7429919</v>
      </c>
      <c r="N91" s="71">
        <v>7</v>
      </c>
      <c r="O91" s="72">
        <v>7453596</v>
      </c>
      <c r="P91" s="71">
        <v>7.6</v>
      </c>
      <c r="Q91" s="72">
        <v>7152391</v>
      </c>
      <c r="R91" s="71">
        <v>7.8</v>
      </c>
      <c r="S91" s="72">
        <v>7239174</v>
      </c>
      <c r="T91" s="71">
        <v>8.1999999999999993</v>
      </c>
      <c r="U91" s="72">
        <v>7288287</v>
      </c>
      <c r="V91" s="71">
        <v>8.1</v>
      </c>
      <c r="W91" s="72">
        <v>7891255</v>
      </c>
      <c r="X91" s="71">
        <v>8.6</v>
      </c>
      <c r="Y91" s="124"/>
      <c r="Z91" s="122"/>
      <c r="AA91" s="122"/>
      <c r="AB91" s="123"/>
    </row>
    <row r="92" spans="1:31" ht="17.25" customHeight="1">
      <c r="A92" s="828" t="s">
        <v>185</v>
      </c>
      <c r="B92" s="808"/>
      <c r="C92" s="808"/>
      <c r="D92" s="73">
        <v>523980</v>
      </c>
      <c r="E92" s="74">
        <f>ROUND(D92/$D$98*100,1)-0.1</f>
        <v>0.4</v>
      </c>
      <c r="F92" s="461">
        <f>D92/D98</f>
        <v>4.5287813310285223E-3</v>
      </c>
      <c r="G92" s="73">
        <v>429060</v>
      </c>
      <c r="H92" s="74">
        <v>0.4</v>
      </c>
      <c r="I92" s="73">
        <v>406500</v>
      </c>
      <c r="J92" s="74">
        <v>0.4</v>
      </c>
      <c r="K92" s="73">
        <v>495820</v>
      </c>
      <c r="L92" s="74">
        <v>0.5</v>
      </c>
      <c r="M92" s="73">
        <v>496480</v>
      </c>
      <c r="N92" s="74">
        <v>0.5</v>
      </c>
      <c r="O92" s="73">
        <v>434940</v>
      </c>
      <c r="P92" s="74">
        <v>0.4</v>
      </c>
      <c r="Q92" s="73">
        <v>410840</v>
      </c>
      <c r="R92" s="74">
        <v>0.5</v>
      </c>
      <c r="S92" s="73">
        <v>404160</v>
      </c>
      <c r="T92" s="74">
        <v>0.5</v>
      </c>
      <c r="U92" s="73">
        <v>383020</v>
      </c>
      <c r="V92" s="74">
        <v>0.4</v>
      </c>
      <c r="W92" s="73">
        <v>374470</v>
      </c>
      <c r="X92" s="74">
        <v>0.5</v>
      </c>
      <c r="Y92" s="124"/>
      <c r="Z92" s="122"/>
      <c r="AA92" s="122"/>
      <c r="AB92" s="123"/>
    </row>
    <row r="93" spans="1:31" ht="17.25" customHeight="1">
      <c r="A93" s="826" t="s">
        <v>74</v>
      </c>
      <c r="B93" s="815"/>
      <c r="C93" s="827"/>
      <c r="D93" s="75">
        <f>SUM(D94:D97)</f>
        <v>303470</v>
      </c>
      <c r="E93" s="76">
        <f>ROUND(D93/$D$98*100,1)</f>
        <v>0.3</v>
      </c>
      <c r="F93" s="461">
        <f>D93/D98</f>
        <v>2.6229040622299049E-3</v>
      </c>
      <c r="G93" s="75">
        <v>290140</v>
      </c>
      <c r="H93" s="76">
        <v>0.19999999999999998</v>
      </c>
      <c r="I93" s="75">
        <v>281940</v>
      </c>
      <c r="J93" s="76">
        <v>0.19999999999999998</v>
      </c>
      <c r="K93" s="75">
        <v>319740</v>
      </c>
      <c r="L93" s="76">
        <v>0.3</v>
      </c>
      <c r="M93" s="75">
        <v>282540</v>
      </c>
      <c r="N93" s="76">
        <v>0.3</v>
      </c>
      <c r="O93" s="75">
        <v>271540</v>
      </c>
      <c r="P93" s="76">
        <v>0.3</v>
      </c>
      <c r="Q93" s="75">
        <v>301040</v>
      </c>
      <c r="R93" s="76">
        <v>0.3</v>
      </c>
      <c r="S93" s="75">
        <v>529510</v>
      </c>
      <c r="T93" s="76">
        <v>0.6</v>
      </c>
      <c r="U93" s="75">
        <v>486870</v>
      </c>
      <c r="V93" s="76">
        <v>0.5</v>
      </c>
      <c r="W93" s="75">
        <v>477820</v>
      </c>
      <c r="X93" s="76">
        <v>0.6</v>
      </c>
      <c r="Y93" s="124"/>
      <c r="Z93" s="122"/>
      <c r="AA93" s="122"/>
      <c r="AB93" s="123"/>
    </row>
    <row r="94" spans="1:31" ht="17.25" customHeight="1">
      <c r="A94" s="77"/>
      <c r="B94" s="792" t="s">
        <v>186</v>
      </c>
      <c r="C94" s="793"/>
      <c r="D94" s="72">
        <v>114010</v>
      </c>
      <c r="E94" s="71">
        <f>ROUND(D94/$D$98*100,1)</f>
        <v>0.1</v>
      </c>
      <c r="F94" s="461">
        <f>D94/D98</f>
        <v>9.8539325842696623E-4</v>
      </c>
      <c r="G94" s="72">
        <v>123010</v>
      </c>
      <c r="H94" s="71">
        <v>0.1</v>
      </c>
      <c r="I94" s="72">
        <v>124010</v>
      </c>
      <c r="J94" s="71">
        <v>0.1</v>
      </c>
      <c r="K94" s="72">
        <v>171010</v>
      </c>
      <c r="L94" s="71">
        <v>0.2</v>
      </c>
      <c r="M94" s="72">
        <v>133010</v>
      </c>
      <c r="N94" s="71">
        <v>0.1</v>
      </c>
      <c r="O94" s="72">
        <v>148510</v>
      </c>
      <c r="P94" s="71">
        <v>0.2</v>
      </c>
      <c r="Q94" s="72">
        <v>177010</v>
      </c>
      <c r="R94" s="71">
        <v>0.2</v>
      </c>
      <c r="S94" s="72">
        <v>297010</v>
      </c>
      <c r="T94" s="71">
        <v>0.3</v>
      </c>
      <c r="U94" s="72">
        <v>337010</v>
      </c>
      <c r="V94" s="71">
        <v>0.4</v>
      </c>
      <c r="W94" s="72">
        <v>431010</v>
      </c>
      <c r="X94" s="71">
        <v>0.6</v>
      </c>
      <c r="Y94" s="124"/>
      <c r="Z94" s="122"/>
      <c r="AA94" s="122"/>
      <c r="AB94" s="123"/>
    </row>
    <row r="95" spans="1:31" ht="17.25" customHeight="1">
      <c r="A95" s="77"/>
      <c r="B95" s="794" t="s">
        <v>36</v>
      </c>
      <c r="C95" s="795"/>
      <c r="D95" s="11">
        <v>120000</v>
      </c>
      <c r="E95" s="71">
        <f>ROUND(D95/$D$98*100,1)</f>
        <v>0.1</v>
      </c>
      <c r="F95" s="461">
        <f>D95/D98</f>
        <v>1.0371650821089024E-3</v>
      </c>
      <c r="G95" s="11">
        <v>120000</v>
      </c>
      <c r="H95" s="71">
        <v>0.1</v>
      </c>
      <c r="I95" s="11">
        <v>120000</v>
      </c>
      <c r="J95" s="71">
        <v>0.1</v>
      </c>
      <c r="K95" s="11">
        <v>120000</v>
      </c>
      <c r="L95" s="71">
        <v>0.1</v>
      </c>
      <c r="M95" s="11">
        <v>120000</v>
      </c>
      <c r="N95" s="71">
        <v>0.1</v>
      </c>
      <c r="O95" s="11">
        <v>120000</v>
      </c>
      <c r="P95" s="71">
        <v>0.1</v>
      </c>
      <c r="Q95" s="11">
        <v>120000</v>
      </c>
      <c r="R95" s="71">
        <v>0.1</v>
      </c>
      <c r="S95" s="11">
        <v>120000</v>
      </c>
      <c r="T95" s="71">
        <v>0.1</v>
      </c>
      <c r="U95" s="11">
        <v>100000</v>
      </c>
      <c r="V95" s="71">
        <v>0.1</v>
      </c>
      <c r="W95" s="11">
        <v>100000</v>
      </c>
      <c r="X95" s="71">
        <v>0.1</v>
      </c>
      <c r="Y95" s="124"/>
      <c r="Z95" s="122"/>
      <c r="AA95" s="122"/>
      <c r="AB95" s="123"/>
    </row>
    <row r="96" spans="1:31" ht="17.25" customHeight="1">
      <c r="A96" s="77"/>
      <c r="B96" s="794" t="s">
        <v>69</v>
      </c>
      <c r="C96" s="795"/>
      <c r="D96" s="72">
        <v>69450</v>
      </c>
      <c r="E96" s="71">
        <f>ROUND(D96/$D$98*100,1)</f>
        <v>0.1</v>
      </c>
      <c r="F96" s="461">
        <f>D96/D98</f>
        <v>6.0025929127052724E-4</v>
      </c>
      <c r="G96" s="72">
        <v>47120</v>
      </c>
      <c r="H96" s="71">
        <v>0</v>
      </c>
      <c r="I96" s="72">
        <v>37920</v>
      </c>
      <c r="J96" s="71">
        <v>0</v>
      </c>
      <c r="K96" s="72">
        <v>28720</v>
      </c>
      <c r="L96" s="71">
        <v>0</v>
      </c>
      <c r="M96" s="72">
        <v>29520</v>
      </c>
      <c r="N96" s="71">
        <v>0</v>
      </c>
      <c r="O96" s="72">
        <v>3010</v>
      </c>
      <c r="P96" s="71">
        <v>0</v>
      </c>
      <c r="Q96" s="72">
        <v>4010</v>
      </c>
      <c r="R96" s="71">
        <v>0</v>
      </c>
      <c r="S96" s="72">
        <v>5330</v>
      </c>
      <c r="T96" s="71">
        <v>0</v>
      </c>
      <c r="U96" s="72">
        <v>3830</v>
      </c>
      <c r="V96" s="71">
        <v>0</v>
      </c>
      <c r="W96" s="72">
        <v>3330</v>
      </c>
      <c r="X96" s="71">
        <v>0</v>
      </c>
      <c r="Y96" s="124"/>
      <c r="Z96" s="122"/>
      <c r="AA96" s="122"/>
      <c r="AB96" s="123"/>
    </row>
    <row r="97" spans="1:31" ht="17.25" customHeight="1" thickBot="1">
      <c r="A97" s="78"/>
      <c r="B97" s="841" t="s">
        <v>75</v>
      </c>
      <c r="C97" s="842"/>
      <c r="D97" s="58">
        <v>10</v>
      </c>
      <c r="E97" s="74">
        <f>ROUND(D97/$D$98*100,1)</f>
        <v>0</v>
      </c>
      <c r="F97" s="461">
        <f>D97/D98</f>
        <v>8.6430423509075192E-8</v>
      </c>
      <c r="G97" s="58">
        <v>10</v>
      </c>
      <c r="H97" s="74">
        <v>0</v>
      </c>
      <c r="I97" s="58">
        <v>10</v>
      </c>
      <c r="J97" s="74">
        <v>0</v>
      </c>
      <c r="K97" s="58">
        <v>10</v>
      </c>
      <c r="L97" s="74">
        <v>0</v>
      </c>
      <c r="M97" s="58">
        <v>10</v>
      </c>
      <c r="N97" s="74">
        <v>0</v>
      </c>
      <c r="O97" s="58">
        <v>20</v>
      </c>
      <c r="P97" s="74">
        <v>0</v>
      </c>
      <c r="Q97" s="58">
        <v>20</v>
      </c>
      <c r="R97" s="74">
        <v>0</v>
      </c>
      <c r="S97" s="58">
        <v>20</v>
      </c>
      <c r="T97" s="74">
        <v>0</v>
      </c>
      <c r="U97" s="58">
        <v>20</v>
      </c>
      <c r="V97" s="74">
        <v>0</v>
      </c>
      <c r="W97" s="58">
        <v>20</v>
      </c>
      <c r="X97" s="74">
        <v>0</v>
      </c>
      <c r="Y97" s="124"/>
      <c r="Z97" s="122"/>
      <c r="AA97" s="122"/>
      <c r="AB97" s="123"/>
      <c r="AE97" s="1"/>
    </row>
    <row r="98" spans="1:31" ht="17.25" customHeight="1" thickTop="1" thickBot="1">
      <c r="A98" s="838" t="s">
        <v>62</v>
      </c>
      <c r="B98" s="839"/>
      <c r="C98" s="839"/>
      <c r="D98" s="79">
        <f>SUM(D82:D85,D89:D93)</f>
        <v>115700000</v>
      </c>
      <c r="E98" s="80">
        <f>SUM(E82:E85)+E89+E90+E91+E92+E93</f>
        <v>100</v>
      </c>
      <c r="F98" s="80"/>
      <c r="G98" s="79">
        <v>111800000</v>
      </c>
      <c r="H98" s="80">
        <v>100.00000000000001</v>
      </c>
      <c r="I98" s="79">
        <v>106000000</v>
      </c>
      <c r="J98" s="80">
        <v>100.00000000000001</v>
      </c>
      <c r="K98" s="79">
        <v>103200000</v>
      </c>
      <c r="L98" s="80">
        <v>99.999999999999986</v>
      </c>
      <c r="M98" s="79">
        <v>105600000</v>
      </c>
      <c r="N98" s="80">
        <v>100.00000000000001</v>
      </c>
      <c r="O98" s="79">
        <v>98300000</v>
      </c>
      <c r="P98" s="80">
        <v>100.00000000000001</v>
      </c>
      <c r="Q98" s="79">
        <v>91500000</v>
      </c>
      <c r="R98" s="80">
        <v>99.999999999999986</v>
      </c>
      <c r="S98" s="79">
        <v>88400000</v>
      </c>
      <c r="T98" s="80">
        <v>99.999999999999986</v>
      </c>
      <c r="U98" s="79">
        <v>89900000</v>
      </c>
      <c r="V98" s="80">
        <v>100</v>
      </c>
      <c r="W98" s="79">
        <v>155151035</v>
      </c>
      <c r="X98" s="80">
        <v>199.60000000000002</v>
      </c>
      <c r="Y98" s="124"/>
      <c r="Z98" s="122"/>
      <c r="AA98" s="122"/>
      <c r="AB98" s="123"/>
      <c r="AE98" s="1"/>
    </row>
    <row r="99" spans="1:31">
      <c r="AC99" s="81"/>
      <c r="AE99" s="1"/>
    </row>
    <row r="100" spans="1:31">
      <c r="D100" s="29">
        <f>D82+D83+D84+D89+D90+D85+D93+D91+D92</f>
        <v>115700000</v>
      </c>
      <c r="G100" s="29">
        <f>G82+G83+G84+G89+G90+G85+G93+G91+G92</f>
        <v>111800000</v>
      </c>
      <c r="I100" s="29">
        <f>I82+I83+I84+I89+I90+I85+I93+I91+I92</f>
        <v>106000000</v>
      </c>
      <c r="K100" s="29">
        <f>K82+K83+K84+K89+K90+K85+K93+K91+K92</f>
        <v>103200000</v>
      </c>
      <c r="M100" s="29">
        <f>M82+M83+M84+M89+M90+M85+M93+M91+M92</f>
        <v>105600000</v>
      </c>
      <c r="O100" s="29">
        <f>O82+O83+O84+O89+O90+O85+O93+O91+O92</f>
        <v>98300000</v>
      </c>
      <c r="Q100" s="29">
        <f>Q82+Q83+Q84+Q89+Q90+Q85+Q93+Q91+Q92</f>
        <v>91500000</v>
      </c>
      <c r="AE100" s="1"/>
    </row>
    <row r="101" spans="1:31">
      <c r="E101" s="81"/>
      <c r="F101" s="81"/>
      <c r="H101" s="81"/>
      <c r="J101" s="81"/>
      <c r="L101" s="81"/>
      <c r="N101" s="81"/>
      <c r="P101" s="81"/>
      <c r="R101" s="81"/>
      <c r="T101" s="81"/>
      <c r="AE101" s="1"/>
    </row>
    <row r="102" spans="1:31">
      <c r="D102" s="408"/>
      <c r="G102" s="408"/>
    </row>
    <row r="103" spans="1:31">
      <c r="D103" s="408"/>
      <c r="G103" s="408"/>
    </row>
    <row r="104" spans="1:31">
      <c r="C104" s="61"/>
      <c r="D104" s="408"/>
      <c r="G104" s="408"/>
      <c r="I104" s="61"/>
      <c r="J104" s="61"/>
      <c r="K104" s="61"/>
      <c r="L104" s="61"/>
      <c r="M104" s="61"/>
      <c r="N104" s="61"/>
      <c r="O104" s="61"/>
      <c r="P104" s="61"/>
      <c r="Q104" s="61"/>
      <c r="R104" s="61"/>
      <c r="S104" s="61"/>
      <c r="T104" s="61"/>
      <c r="AE104" s="1"/>
    </row>
    <row r="105" spans="1:31">
      <c r="C105" s="61"/>
      <c r="D105" s="408"/>
      <c r="G105" s="408"/>
      <c r="I105" s="61"/>
      <c r="J105" s="61"/>
      <c r="K105" s="61"/>
      <c r="L105" s="61"/>
      <c r="M105" s="61"/>
      <c r="N105" s="61"/>
      <c r="O105" s="61"/>
      <c r="P105" s="61"/>
      <c r="Q105" s="61"/>
      <c r="R105" s="61"/>
      <c r="S105" s="104"/>
      <c r="T105" s="105"/>
      <c r="AE105" s="1"/>
    </row>
    <row r="106" spans="1:31">
      <c r="C106" s="61"/>
      <c r="D106" s="408"/>
      <c r="G106" s="408"/>
      <c r="I106" s="61"/>
      <c r="J106" s="61"/>
      <c r="K106" s="61"/>
      <c r="L106" s="61"/>
      <c r="M106" s="61"/>
      <c r="N106" s="61"/>
      <c r="O106" s="61"/>
      <c r="P106" s="61"/>
      <c r="Q106" s="61"/>
      <c r="R106" s="61"/>
      <c r="S106" s="61"/>
      <c r="T106" s="61"/>
      <c r="AE106" s="1"/>
    </row>
    <row r="107" spans="1:31">
      <c r="C107" s="61"/>
      <c r="D107" s="408"/>
      <c r="G107" s="408"/>
      <c r="I107" s="409"/>
      <c r="J107" s="409"/>
      <c r="K107" s="61"/>
      <c r="L107" s="61"/>
      <c r="M107" s="61"/>
      <c r="N107" s="61"/>
      <c r="O107" s="61"/>
      <c r="P107" s="61"/>
      <c r="Q107" s="61"/>
      <c r="R107" s="61"/>
      <c r="S107" s="61"/>
      <c r="T107" s="61"/>
      <c r="AE107" s="1"/>
    </row>
    <row r="108" spans="1:31">
      <c r="C108" s="61"/>
      <c r="D108" s="408"/>
      <c r="G108" s="408"/>
      <c r="I108" s="410"/>
      <c r="J108" s="409"/>
      <c r="K108" s="61"/>
      <c r="L108" s="61"/>
      <c r="M108" s="106"/>
      <c r="N108" s="61"/>
      <c r="O108" s="106"/>
      <c r="P108" s="61"/>
      <c r="Q108" s="106"/>
      <c r="R108" s="61"/>
      <c r="S108" s="61"/>
      <c r="T108" s="61"/>
      <c r="AE108" s="1"/>
    </row>
    <row r="109" spans="1:31">
      <c r="C109" s="61"/>
      <c r="D109" s="408"/>
      <c r="G109" s="408"/>
      <c r="I109" s="106"/>
      <c r="J109" s="409"/>
      <c r="K109" s="106"/>
      <c r="L109" s="61"/>
      <c r="M109" s="106"/>
      <c r="N109" s="61"/>
      <c r="O109" s="106"/>
      <c r="P109" s="61"/>
      <c r="Q109" s="106"/>
      <c r="R109" s="61"/>
      <c r="S109" s="61"/>
      <c r="T109" s="61"/>
      <c r="AE109" s="1"/>
    </row>
    <row r="110" spans="1:31">
      <c r="C110" s="61"/>
      <c r="D110" s="408"/>
      <c r="G110" s="408"/>
      <c r="I110" s="106"/>
      <c r="J110" s="61"/>
      <c r="K110" s="106"/>
      <c r="L110" s="61"/>
      <c r="M110" s="106"/>
      <c r="N110" s="61"/>
      <c r="O110" s="106"/>
      <c r="P110" s="61"/>
      <c r="Q110" s="106"/>
      <c r="R110" s="61"/>
      <c r="S110" s="61"/>
      <c r="T110" s="61"/>
      <c r="AE110" s="1"/>
    </row>
    <row r="111" spans="1:31">
      <c r="C111" s="61"/>
      <c r="D111" s="408"/>
      <c r="G111" s="408"/>
      <c r="I111" s="61"/>
      <c r="J111" s="61"/>
      <c r="K111" s="61"/>
      <c r="L111" s="61"/>
      <c r="M111" s="61"/>
      <c r="N111" s="61"/>
      <c r="O111" s="61"/>
      <c r="P111" s="61"/>
      <c r="Q111" s="61"/>
      <c r="R111" s="61"/>
      <c r="S111" s="61"/>
      <c r="T111" s="61"/>
      <c r="AE111" s="1"/>
    </row>
    <row r="112" spans="1:31">
      <c r="C112" s="61"/>
      <c r="D112" s="408"/>
      <c r="G112" s="408"/>
      <c r="I112" s="61"/>
      <c r="J112" s="61"/>
      <c r="K112" s="61"/>
      <c r="L112" s="61"/>
      <c r="M112" s="61"/>
      <c r="N112" s="61"/>
      <c r="O112" s="61"/>
      <c r="P112" s="61"/>
      <c r="Q112" s="61"/>
      <c r="R112" s="61"/>
      <c r="S112" s="61"/>
      <c r="T112" s="61"/>
      <c r="AE112" s="1"/>
    </row>
    <row r="113" spans="3:31">
      <c r="C113" s="61"/>
      <c r="D113" s="408"/>
      <c r="G113" s="408"/>
      <c r="I113" s="61"/>
      <c r="J113" s="61"/>
      <c r="K113" s="61"/>
      <c r="L113" s="61"/>
      <c r="M113" s="61"/>
      <c r="N113" s="61"/>
      <c r="O113" s="61"/>
      <c r="P113" s="61"/>
      <c r="Q113" s="61"/>
      <c r="R113" s="61"/>
      <c r="S113" s="61"/>
      <c r="T113" s="61"/>
      <c r="AE113" s="1"/>
    </row>
    <row r="114" spans="3:31">
      <c r="C114" s="61"/>
      <c r="D114" s="61"/>
      <c r="E114" s="61"/>
      <c r="F114" s="61"/>
      <c r="G114" s="61"/>
      <c r="H114" s="61"/>
      <c r="I114" s="61"/>
      <c r="J114" s="61"/>
      <c r="K114" s="61"/>
      <c r="L114" s="61"/>
      <c r="M114" s="61"/>
      <c r="N114" s="61"/>
      <c r="O114" s="61"/>
      <c r="P114" s="61"/>
      <c r="Q114" s="61"/>
      <c r="R114" s="61"/>
      <c r="S114" s="61"/>
      <c r="T114" s="61"/>
      <c r="AE114" s="1"/>
    </row>
    <row r="115" spans="3:31">
      <c r="C115" s="61"/>
      <c r="D115" s="61"/>
      <c r="E115" s="61"/>
      <c r="F115" s="61"/>
      <c r="G115" s="61"/>
      <c r="H115" s="61"/>
      <c r="I115" s="61"/>
      <c r="J115" s="61"/>
      <c r="K115" s="61"/>
      <c r="L115" s="61"/>
      <c r="M115" s="61"/>
      <c r="N115" s="61"/>
      <c r="O115" s="61"/>
      <c r="P115" s="61"/>
      <c r="Q115" s="61"/>
      <c r="R115" s="61"/>
      <c r="S115" s="61"/>
      <c r="T115" s="61"/>
      <c r="AE115" s="1"/>
    </row>
    <row r="116" spans="3:31">
      <c r="C116" s="61"/>
      <c r="D116" s="61"/>
      <c r="E116" s="61"/>
      <c r="F116" s="61"/>
      <c r="G116" s="61"/>
      <c r="H116" s="61"/>
      <c r="I116" s="61"/>
      <c r="J116" s="61"/>
      <c r="K116" s="61"/>
      <c r="L116" s="61"/>
      <c r="M116" s="61"/>
      <c r="N116" s="61"/>
      <c r="O116" s="61"/>
      <c r="P116" s="61"/>
      <c r="Q116" s="61"/>
      <c r="R116" s="61"/>
      <c r="S116" s="61"/>
      <c r="T116" s="61"/>
      <c r="AE116" s="1"/>
    </row>
    <row r="117" spans="3:31">
      <c r="C117" s="61"/>
      <c r="D117" s="61"/>
      <c r="E117" s="61"/>
      <c r="F117" s="61"/>
      <c r="G117" s="61"/>
      <c r="H117" s="61"/>
      <c r="I117" s="61"/>
      <c r="J117" s="61"/>
      <c r="K117" s="61"/>
      <c r="L117" s="61"/>
      <c r="M117" s="61"/>
      <c r="N117" s="61"/>
      <c r="O117" s="61"/>
      <c r="P117" s="61"/>
      <c r="Q117" s="61"/>
      <c r="R117" s="61"/>
      <c r="S117" s="61"/>
      <c r="T117" s="61"/>
      <c r="AE117" s="1"/>
    </row>
    <row r="118" spans="3:31">
      <c r="C118" s="61"/>
      <c r="D118" s="61"/>
      <c r="E118" s="61"/>
      <c r="F118" s="61"/>
      <c r="G118" s="61"/>
      <c r="H118" s="61"/>
      <c r="I118" s="61"/>
      <c r="J118" s="61"/>
      <c r="K118" s="61"/>
      <c r="L118" s="61"/>
      <c r="M118" s="61"/>
      <c r="N118" s="61"/>
      <c r="O118" s="61"/>
      <c r="P118" s="61"/>
      <c r="Q118" s="61"/>
      <c r="R118" s="61"/>
      <c r="S118" s="61"/>
      <c r="T118" s="61"/>
      <c r="AE118" s="1"/>
    </row>
  </sheetData>
  <mergeCells count="60">
    <mergeCell ref="A84:C84"/>
    <mergeCell ref="A83:C83"/>
    <mergeCell ref="A82:C82"/>
    <mergeCell ref="B64:C64"/>
    <mergeCell ref="A77:C77"/>
    <mergeCell ref="B67:C67"/>
    <mergeCell ref="B65:C65"/>
    <mergeCell ref="A61:A76"/>
    <mergeCell ref="B68:C68"/>
    <mergeCell ref="A81:C81"/>
    <mergeCell ref="B63:C63"/>
    <mergeCell ref="B66:C66"/>
    <mergeCell ref="A98:C98"/>
    <mergeCell ref="A93:C93"/>
    <mergeCell ref="A86:A88"/>
    <mergeCell ref="B94:C94"/>
    <mergeCell ref="B95:C95"/>
    <mergeCell ref="B96:C96"/>
    <mergeCell ref="B97:C97"/>
    <mergeCell ref="A92:C92"/>
    <mergeCell ref="A91:C91"/>
    <mergeCell ref="B87:C87"/>
    <mergeCell ref="B88:C88"/>
    <mergeCell ref="A89:C89"/>
    <mergeCell ref="A90:C90"/>
    <mergeCell ref="A85:C85"/>
    <mergeCell ref="B86:C86"/>
    <mergeCell ref="A3:C3"/>
    <mergeCell ref="A4:C4"/>
    <mergeCell ref="A5:C5"/>
    <mergeCell ref="A6:C6"/>
    <mergeCell ref="A31:C31"/>
    <mergeCell ref="A8:C8"/>
    <mergeCell ref="A27:C27"/>
    <mergeCell ref="A11:C11"/>
    <mergeCell ref="A7:C7"/>
    <mergeCell ref="A9:C9"/>
    <mergeCell ref="A47:C47"/>
    <mergeCell ref="A39:C39"/>
    <mergeCell ref="A37:C37"/>
    <mergeCell ref="B62:C62"/>
    <mergeCell ref="Z25:AB25"/>
    <mergeCell ref="A10:C10"/>
    <mergeCell ref="A12:C12"/>
    <mergeCell ref="A35:C35"/>
    <mergeCell ref="A32:C32"/>
    <mergeCell ref="Z63:AA63"/>
    <mergeCell ref="A36:C36"/>
    <mergeCell ref="A33:C33"/>
    <mergeCell ref="A34:C34"/>
    <mergeCell ref="B61:C61"/>
    <mergeCell ref="A38:C38"/>
    <mergeCell ref="B54:C54"/>
    <mergeCell ref="A51:A60"/>
    <mergeCell ref="B55:C55"/>
    <mergeCell ref="B51:C51"/>
    <mergeCell ref="B60:C60"/>
    <mergeCell ref="B53:C53"/>
    <mergeCell ref="A50:C50"/>
    <mergeCell ref="B52:C52"/>
  </mergeCells>
  <phoneticPr fontId="6"/>
  <printOptions horizontalCentered="1"/>
  <pageMargins left="0.19685039370078741" right="0.19685039370078741" top="0.55118110236220474" bottom="0.47244094488188981" header="0.51181102362204722" footer="0.51181102362204722"/>
  <pageSetup paperSize="9" fitToWidth="0" orientation="portrait" cellComments="asDisplayed" verticalDpi="300" r:id="rId1"/>
  <headerFooter alignWithMargins="0"/>
  <rowBreaks count="1" manualBreakCount="1">
    <brk id="48"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tabSelected="1" workbookViewId="0"/>
  </sheetViews>
  <sheetFormatPr defaultRowHeight="13.5"/>
  <cols>
    <col min="1" max="1" width="29.375" bestFit="1" customWidth="1"/>
    <col min="2" max="3" width="13.875" bestFit="1" customWidth="1"/>
    <col min="4" max="4" width="11.625" bestFit="1" customWidth="1"/>
  </cols>
  <sheetData>
    <row r="1" spans="1:5">
      <c r="E1" s="589" t="s">
        <v>327</v>
      </c>
    </row>
    <row r="2" spans="1:5">
      <c r="A2" s="585" t="s">
        <v>309</v>
      </c>
      <c r="B2" s="585" t="s">
        <v>76</v>
      </c>
      <c r="C2" s="585" t="s">
        <v>11</v>
      </c>
      <c r="D2" s="585" t="s">
        <v>12</v>
      </c>
      <c r="E2" s="585" t="s">
        <v>13</v>
      </c>
    </row>
    <row r="3" spans="1:5">
      <c r="A3" s="585" t="s">
        <v>2</v>
      </c>
      <c r="B3" s="586">
        <v>115700000</v>
      </c>
      <c r="C3" s="586">
        <v>111800000</v>
      </c>
      <c r="D3" s="586">
        <v>3900000</v>
      </c>
      <c r="E3" s="684">
        <v>3.5</v>
      </c>
    </row>
    <row r="4" spans="1:5">
      <c r="A4" s="585" t="s">
        <v>3</v>
      </c>
      <c r="B4" s="586">
        <v>61392000</v>
      </c>
      <c r="C4" s="586">
        <v>59354000</v>
      </c>
      <c r="D4" s="586">
        <v>2038000</v>
      </c>
      <c r="E4" s="684">
        <v>3.4</v>
      </c>
    </row>
    <row r="5" spans="1:5">
      <c r="A5" s="585" t="s">
        <v>4</v>
      </c>
      <c r="B5" s="586">
        <v>30080000</v>
      </c>
      <c r="C5" s="586">
        <v>30650000</v>
      </c>
      <c r="D5" s="586">
        <v>-570000</v>
      </c>
      <c r="E5" s="684">
        <v>-1.9</v>
      </c>
    </row>
    <row r="6" spans="1:5">
      <c r="A6" s="585" t="s">
        <v>87</v>
      </c>
      <c r="B6" s="586">
        <v>5590000</v>
      </c>
      <c r="C6" s="586">
        <v>5000000</v>
      </c>
      <c r="D6" s="586">
        <v>590000</v>
      </c>
      <c r="E6" s="684">
        <v>11.8</v>
      </c>
    </row>
    <row r="7" spans="1:5">
      <c r="A7" s="585" t="s">
        <v>5</v>
      </c>
      <c r="B7" s="586">
        <v>22820000</v>
      </c>
      <c r="C7" s="586">
        <v>21240000</v>
      </c>
      <c r="D7" s="586">
        <v>1580000</v>
      </c>
      <c r="E7" s="684">
        <v>7.4</v>
      </c>
    </row>
    <row r="8" spans="1:5">
      <c r="A8" s="585" t="s">
        <v>180</v>
      </c>
      <c r="B8" s="586">
        <v>54000</v>
      </c>
      <c r="C8" s="586">
        <v>35000</v>
      </c>
      <c r="D8" s="586">
        <v>19000</v>
      </c>
      <c r="E8" s="684">
        <v>54.3</v>
      </c>
    </row>
    <row r="9" spans="1:5">
      <c r="A9" s="585" t="s">
        <v>6</v>
      </c>
      <c r="B9" s="586">
        <v>40000</v>
      </c>
      <c r="C9" s="586">
        <v>40000</v>
      </c>
      <c r="D9" s="586">
        <v>0</v>
      </c>
      <c r="E9" s="684">
        <v>0</v>
      </c>
    </row>
    <row r="10" spans="1:5">
      <c r="A10" s="585" t="s">
        <v>7</v>
      </c>
      <c r="B10" s="586">
        <v>2500000</v>
      </c>
      <c r="C10" s="586">
        <v>2000000</v>
      </c>
      <c r="D10" s="586">
        <v>500000</v>
      </c>
      <c r="E10" s="684">
        <v>25</v>
      </c>
    </row>
    <row r="11" spans="1:5">
      <c r="A11" s="585" t="s">
        <v>8</v>
      </c>
      <c r="B11" s="586">
        <v>308000</v>
      </c>
      <c r="C11" s="586">
        <v>389000</v>
      </c>
      <c r="D11" s="586">
        <v>-81000</v>
      </c>
      <c r="E11" s="684">
        <v>-20.8</v>
      </c>
    </row>
    <row r="12" spans="1:5">
      <c r="A12" s="585" t="s">
        <v>9</v>
      </c>
      <c r="B12" s="586">
        <v>14529800</v>
      </c>
      <c r="C12" s="586">
        <v>13351400</v>
      </c>
      <c r="D12" s="586">
        <v>1178400</v>
      </c>
      <c r="E12" s="684">
        <v>8.8000000000000007</v>
      </c>
    </row>
    <row r="13" spans="1:5">
      <c r="A13" s="585" t="s">
        <v>195</v>
      </c>
      <c r="B13" s="586">
        <v>10467400</v>
      </c>
      <c r="C13" s="586">
        <v>10193900</v>
      </c>
      <c r="D13" s="586">
        <v>273500</v>
      </c>
      <c r="E13" s="684">
        <v>2.7</v>
      </c>
    </row>
    <row r="14" spans="1:5">
      <c r="A14" s="585" t="s">
        <v>310</v>
      </c>
      <c r="B14" s="586">
        <v>202089200</v>
      </c>
      <c r="C14" s="586">
        <v>194699300</v>
      </c>
      <c r="D14" s="586">
        <v>7389900</v>
      </c>
      <c r="E14" s="684">
        <v>3.8</v>
      </c>
    </row>
  </sheetData>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workbookViewId="0">
      <selection activeCell="A3" sqref="A3"/>
    </sheetView>
  </sheetViews>
  <sheetFormatPr defaultRowHeight="13.5"/>
  <cols>
    <col min="1" max="1" width="4.125" customWidth="1"/>
    <col min="2" max="2" width="25" bestFit="1" customWidth="1"/>
    <col min="3" max="3" width="13.875" bestFit="1" customWidth="1"/>
    <col min="5" max="5" width="13.875" bestFit="1" customWidth="1"/>
    <col min="7" max="7" width="12.375" customWidth="1"/>
  </cols>
  <sheetData>
    <row r="1" spans="1:8">
      <c r="E1" s="589"/>
      <c r="H1" s="589" t="s">
        <v>327</v>
      </c>
    </row>
    <row r="2" spans="1:8">
      <c r="A2" s="585" t="s">
        <v>949</v>
      </c>
      <c r="B2" s="585" t="s">
        <v>320</v>
      </c>
      <c r="C2" s="585" t="s">
        <v>76</v>
      </c>
      <c r="D2" s="585" t="s">
        <v>15</v>
      </c>
      <c r="E2" s="585" t="s">
        <v>44</v>
      </c>
      <c r="F2" s="585" t="s">
        <v>15</v>
      </c>
      <c r="G2" s="586" t="s">
        <v>12</v>
      </c>
      <c r="H2" s="585" t="s">
        <v>45</v>
      </c>
    </row>
    <row r="3" spans="1:8">
      <c r="A3" s="585">
        <v>1</v>
      </c>
      <c r="B3" s="585" t="s">
        <v>18</v>
      </c>
      <c r="C3" s="586">
        <v>47149000</v>
      </c>
      <c r="D3" s="684">
        <v>40.800000000000004</v>
      </c>
      <c r="E3" s="586">
        <v>48244000</v>
      </c>
      <c r="F3" s="684">
        <v>43.2</v>
      </c>
      <c r="G3" s="586">
        <v>-1095000</v>
      </c>
      <c r="H3" s="684">
        <v>-2.2999999999999998</v>
      </c>
    </row>
    <row r="4" spans="1:8">
      <c r="A4" s="585">
        <v>2</v>
      </c>
      <c r="B4" s="585" t="s">
        <v>47</v>
      </c>
      <c r="C4" s="586">
        <v>717000</v>
      </c>
      <c r="D4" s="684">
        <v>0.6</v>
      </c>
      <c r="E4" s="586">
        <v>716000</v>
      </c>
      <c r="F4" s="684">
        <v>0.6</v>
      </c>
      <c r="G4" s="586">
        <v>1000</v>
      </c>
      <c r="H4" s="684">
        <v>0.1</v>
      </c>
    </row>
    <row r="5" spans="1:8">
      <c r="A5" s="585">
        <v>3</v>
      </c>
      <c r="B5" s="585" t="s">
        <v>19</v>
      </c>
      <c r="C5" s="586">
        <v>20000</v>
      </c>
      <c r="D5" s="684">
        <v>0</v>
      </c>
      <c r="E5" s="586">
        <v>20000</v>
      </c>
      <c r="F5" s="684">
        <v>0</v>
      </c>
      <c r="G5" s="586">
        <v>0</v>
      </c>
      <c r="H5" s="684">
        <v>0</v>
      </c>
    </row>
    <row r="6" spans="1:8">
      <c r="A6" s="585">
        <v>4</v>
      </c>
      <c r="B6" s="585" t="s">
        <v>83</v>
      </c>
      <c r="C6" s="586">
        <v>250000</v>
      </c>
      <c r="D6" s="684">
        <v>0.2</v>
      </c>
      <c r="E6" s="586">
        <v>250000</v>
      </c>
      <c r="F6" s="684">
        <v>0.2</v>
      </c>
      <c r="G6" s="586">
        <v>0</v>
      </c>
      <c r="H6" s="684">
        <v>0</v>
      </c>
    </row>
    <row r="7" spans="1:8">
      <c r="A7" s="585">
        <v>5</v>
      </c>
      <c r="B7" s="585" t="s">
        <v>84</v>
      </c>
      <c r="C7" s="586">
        <v>200000</v>
      </c>
      <c r="D7" s="684">
        <v>0.2</v>
      </c>
      <c r="E7" s="586">
        <v>200000</v>
      </c>
      <c r="F7" s="684">
        <v>0.2</v>
      </c>
      <c r="G7" s="586">
        <v>0</v>
      </c>
      <c r="H7" s="684">
        <v>0</v>
      </c>
    </row>
    <row r="8" spans="1:8">
      <c r="A8" s="585">
        <v>6</v>
      </c>
      <c r="B8" s="585" t="s">
        <v>196</v>
      </c>
      <c r="C8" s="586">
        <v>500000</v>
      </c>
      <c r="D8" s="684">
        <v>0.4</v>
      </c>
      <c r="E8" s="586">
        <v>500000</v>
      </c>
      <c r="F8" s="684">
        <v>0.5</v>
      </c>
      <c r="G8" s="586">
        <v>0</v>
      </c>
      <c r="H8" s="684">
        <v>0</v>
      </c>
    </row>
    <row r="9" spans="1:8">
      <c r="A9" s="585">
        <v>7</v>
      </c>
      <c r="B9" s="585" t="s">
        <v>20</v>
      </c>
      <c r="C9" s="586">
        <v>7700000</v>
      </c>
      <c r="D9" s="684">
        <v>6.6999999999999993</v>
      </c>
      <c r="E9" s="586">
        <v>7800000</v>
      </c>
      <c r="F9" s="684">
        <v>7</v>
      </c>
      <c r="G9" s="586">
        <v>-100000</v>
      </c>
      <c r="H9" s="684">
        <v>-1.3</v>
      </c>
    </row>
    <row r="10" spans="1:8">
      <c r="A10" s="585">
        <v>8</v>
      </c>
      <c r="B10" s="585" t="s">
        <v>189</v>
      </c>
      <c r="C10" s="586">
        <v>170000</v>
      </c>
      <c r="D10" s="684">
        <v>0.1</v>
      </c>
      <c r="E10" s="586">
        <v>120000</v>
      </c>
      <c r="F10" s="684">
        <v>0.1</v>
      </c>
      <c r="G10" s="586">
        <v>50000</v>
      </c>
      <c r="H10" s="684">
        <v>41.7</v>
      </c>
    </row>
    <row r="11" spans="1:8">
      <c r="A11" s="585">
        <v>9</v>
      </c>
      <c r="B11" s="585" t="s">
        <v>22</v>
      </c>
      <c r="C11" s="586">
        <v>1990000</v>
      </c>
      <c r="D11" s="684">
        <v>1.7</v>
      </c>
      <c r="E11" s="586">
        <v>440000</v>
      </c>
      <c r="F11" s="684">
        <v>0.4</v>
      </c>
      <c r="G11" s="586">
        <v>1550000</v>
      </c>
      <c r="H11" s="684">
        <v>352.3</v>
      </c>
    </row>
    <row r="12" spans="1:8">
      <c r="A12" s="585">
        <v>10</v>
      </c>
      <c r="B12" s="585" t="s">
        <v>23</v>
      </c>
      <c r="C12" s="586">
        <v>5900000</v>
      </c>
      <c r="D12" s="684">
        <v>5.0999999999999996</v>
      </c>
      <c r="E12" s="586">
        <v>4200000</v>
      </c>
      <c r="F12" s="684">
        <v>3.8000000000000003</v>
      </c>
      <c r="G12" s="586">
        <v>1700000</v>
      </c>
      <c r="H12" s="684">
        <v>40.5</v>
      </c>
    </row>
    <row r="13" spans="1:8">
      <c r="A13" s="585">
        <v>11</v>
      </c>
      <c r="B13" s="585" t="s">
        <v>24</v>
      </c>
      <c r="C13" s="586">
        <v>42000</v>
      </c>
      <c r="D13" s="684">
        <v>0</v>
      </c>
      <c r="E13" s="586">
        <v>42000</v>
      </c>
      <c r="F13" s="684">
        <v>0</v>
      </c>
      <c r="G13" s="586">
        <v>0</v>
      </c>
      <c r="H13" s="684">
        <v>0</v>
      </c>
    </row>
    <row r="14" spans="1:8">
      <c r="A14" s="585">
        <v>12</v>
      </c>
      <c r="B14" s="585" t="s">
        <v>25</v>
      </c>
      <c r="C14" s="586">
        <v>532880</v>
      </c>
      <c r="D14" s="684">
        <v>0.5</v>
      </c>
      <c r="E14" s="586">
        <v>495280</v>
      </c>
      <c r="F14" s="684">
        <v>0.4</v>
      </c>
      <c r="G14" s="586">
        <v>37600</v>
      </c>
      <c r="H14" s="684">
        <v>7.6</v>
      </c>
    </row>
    <row r="15" spans="1:8">
      <c r="A15" s="585">
        <v>13</v>
      </c>
      <c r="B15" s="585" t="s">
        <v>48</v>
      </c>
      <c r="C15" s="586">
        <v>1531925</v>
      </c>
      <c r="D15" s="684">
        <v>1.3</v>
      </c>
      <c r="E15" s="586">
        <v>1467075</v>
      </c>
      <c r="F15" s="684">
        <v>1.3</v>
      </c>
      <c r="G15" s="586">
        <v>64850</v>
      </c>
      <c r="H15" s="684">
        <v>4.4000000000000004</v>
      </c>
    </row>
    <row r="16" spans="1:8">
      <c r="A16" s="585">
        <v>14</v>
      </c>
      <c r="B16" s="585" t="s">
        <v>26</v>
      </c>
      <c r="C16" s="586">
        <v>20868640</v>
      </c>
      <c r="D16" s="684">
        <v>18</v>
      </c>
      <c r="E16" s="586">
        <v>20504780</v>
      </c>
      <c r="F16" s="684">
        <v>18.3</v>
      </c>
      <c r="G16" s="586">
        <v>363860</v>
      </c>
      <c r="H16" s="684">
        <v>1.8</v>
      </c>
    </row>
    <row r="17" spans="1:8">
      <c r="A17" s="585">
        <v>15</v>
      </c>
      <c r="B17" s="585" t="s">
        <v>27</v>
      </c>
      <c r="C17" s="586">
        <v>7607370</v>
      </c>
      <c r="D17" s="684">
        <v>6.6</v>
      </c>
      <c r="E17" s="586">
        <v>7394680</v>
      </c>
      <c r="F17" s="684">
        <v>6.6</v>
      </c>
      <c r="G17" s="586">
        <v>212690</v>
      </c>
      <c r="H17" s="684">
        <v>2.9</v>
      </c>
    </row>
    <row r="18" spans="1:8">
      <c r="A18" s="585">
        <v>16</v>
      </c>
      <c r="B18" s="585" t="s">
        <v>28</v>
      </c>
      <c r="C18" s="586">
        <v>103010</v>
      </c>
      <c r="D18" s="684">
        <v>0.1</v>
      </c>
      <c r="E18" s="586">
        <v>85610</v>
      </c>
      <c r="F18" s="684">
        <v>0.1</v>
      </c>
      <c r="G18" s="586">
        <v>17400</v>
      </c>
      <c r="H18" s="684">
        <v>20.3</v>
      </c>
    </row>
    <row r="19" spans="1:8">
      <c r="A19" s="585">
        <v>17</v>
      </c>
      <c r="B19" s="585" t="s">
        <v>29</v>
      </c>
      <c r="C19" s="586">
        <v>52000</v>
      </c>
      <c r="D19" s="684">
        <v>0</v>
      </c>
      <c r="E19" s="586">
        <v>13010</v>
      </c>
      <c r="F19" s="684">
        <v>0</v>
      </c>
      <c r="G19" s="586">
        <v>38990</v>
      </c>
      <c r="H19" s="684">
        <v>299.7</v>
      </c>
    </row>
    <row r="20" spans="1:8">
      <c r="A20" s="585">
        <v>18</v>
      </c>
      <c r="B20" s="585" t="s">
        <v>49</v>
      </c>
      <c r="C20" s="586">
        <v>7138910</v>
      </c>
      <c r="D20" s="684">
        <v>6.1999999999999993</v>
      </c>
      <c r="E20" s="586">
        <v>6942710</v>
      </c>
      <c r="F20" s="684">
        <v>6.2</v>
      </c>
      <c r="G20" s="586">
        <v>196200</v>
      </c>
      <c r="H20" s="684">
        <v>2.8</v>
      </c>
    </row>
    <row r="21" spans="1:8">
      <c r="A21" s="585">
        <v>19</v>
      </c>
      <c r="B21" s="585" t="s">
        <v>50</v>
      </c>
      <c r="C21" s="586">
        <v>1000000</v>
      </c>
      <c r="D21" s="684">
        <v>0.9</v>
      </c>
      <c r="E21" s="586">
        <v>1000000</v>
      </c>
      <c r="F21" s="684">
        <v>0.9</v>
      </c>
      <c r="G21" s="586">
        <v>0</v>
      </c>
      <c r="H21" s="684">
        <v>0</v>
      </c>
    </row>
    <row r="22" spans="1:8">
      <c r="A22" s="585">
        <v>20</v>
      </c>
      <c r="B22" s="585" t="s">
        <v>51</v>
      </c>
      <c r="C22" s="586">
        <v>3016865</v>
      </c>
      <c r="D22" s="684">
        <v>2.6</v>
      </c>
      <c r="E22" s="586">
        <v>3201055</v>
      </c>
      <c r="F22" s="684">
        <v>2.9</v>
      </c>
      <c r="G22" s="586">
        <v>-184190</v>
      </c>
      <c r="H22" s="684">
        <v>-5.8</v>
      </c>
    </row>
    <row r="23" spans="1:8">
      <c r="A23" s="585">
        <v>21</v>
      </c>
      <c r="B23" s="585" t="s">
        <v>52</v>
      </c>
      <c r="C23" s="586">
        <v>9210400</v>
      </c>
      <c r="D23" s="684">
        <v>8</v>
      </c>
      <c r="E23" s="586">
        <v>8163800</v>
      </c>
      <c r="F23" s="684">
        <v>7.3</v>
      </c>
      <c r="G23" s="586">
        <v>1046600</v>
      </c>
      <c r="H23" s="684">
        <v>12.8</v>
      </c>
    </row>
    <row r="24" spans="1:8">
      <c r="A24" s="585"/>
      <c r="B24" s="585" t="s">
        <v>311</v>
      </c>
      <c r="C24" s="586">
        <v>115700000</v>
      </c>
      <c r="D24" s="684">
        <v>100</v>
      </c>
      <c r="E24" s="586">
        <v>111800000</v>
      </c>
      <c r="F24" s="684">
        <v>100</v>
      </c>
      <c r="G24" s="586">
        <v>3900000</v>
      </c>
      <c r="H24" s="684">
        <v>3.5</v>
      </c>
    </row>
  </sheetData>
  <phoneticPr fontId="4"/>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workbookViewId="0">
      <selection activeCell="A3" sqref="A3"/>
    </sheetView>
  </sheetViews>
  <sheetFormatPr defaultRowHeight="13.5"/>
  <cols>
    <col min="1" max="1" width="4.125" customWidth="1"/>
    <col min="2" max="3" width="13.875" bestFit="1" customWidth="1"/>
    <col min="5" max="5" width="13.875" bestFit="1" customWidth="1"/>
    <col min="7" max="7" width="11.125" customWidth="1"/>
  </cols>
  <sheetData>
    <row r="1" spans="1:8">
      <c r="E1" s="589"/>
      <c r="H1" s="589" t="s">
        <v>327</v>
      </c>
    </row>
    <row r="2" spans="1:8">
      <c r="A2" s="585" t="s">
        <v>949</v>
      </c>
      <c r="B2" s="585" t="s">
        <v>320</v>
      </c>
      <c r="C2" s="585" t="s">
        <v>76</v>
      </c>
      <c r="D2" s="585" t="s">
        <v>15</v>
      </c>
      <c r="E2" s="585" t="s">
        <v>44</v>
      </c>
      <c r="F2" s="585" t="s">
        <v>15</v>
      </c>
      <c r="G2" s="586" t="s">
        <v>12</v>
      </c>
      <c r="H2" s="585" t="s">
        <v>45</v>
      </c>
    </row>
    <row r="3" spans="1:8">
      <c r="A3" s="585">
        <v>1</v>
      </c>
      <c r="B3" s="585" t="s">
        <v>30</v>
      </c>
      <c r="C3" s="586">
        <v>582492</v>
      </c>
      <c r="D3" s="684">
        <v>0.5</v>
      </c>
      <c r="E3" s="586">
        <v>583986</v>
      </c>
      <c r="F3" s="684">
        <v>0.5</v>
      </c>
      <c r="G3" s="586">
        <v>-1494</v>
      </c>
      <c r="H3" s="684">
        <v>-0.3</v>
      </c>
    </row>
    <row r="4" spans="1:8">
      <c r="A4" s="585">
        <v>2</v>
      </c>
      <c r="B4" s="585" t="s">
        <v>31</v>
      </c>
      <c r="C4" s="586">
        <v>10949269</v>
      </c>
      <c r="D4" s="684">
        <v>9.5</v>
      </c>
      <c r="E4" s="586">
        <v>11882730</v>
      </c>
      <c r="F4" s="684">
        <v>10.6</v>
      </c>
      <c r="G4" s="586">
        <v>-933461</v>
      </c>
      <c r="H4" s="684">
        <v>-7.9</v>
      </c>
    </row>
    <row r="5" spans="1:8">
      <c r="A5" s="585">
        <v>3</v>
      </c>
      <c r="B5" s="585" t="s">
        <v>55</v>
      </c>
      <c r="C5" s="586">
        <v>55528644</v>
      </c>
      <c r="D5" s="684">
        <v>48</v>
      </c>
      <c r="E5" s="586">
        <v>52126762</v>
      </c>
      <c r="F5" s="684">
        <v>46.6</v>
      </c>
      <c r="G5" s="586">
        <v>3401882</v>
      </c>
      <c r="H5" s="684">
        <v>6.5</v>
      </c>
    </row>
    <row r="6" spans="1:8">
      <c r="A6" s="585">
        <v>4</v>
      </c>
      <c r="B6" s="585" t="s">
        <v>32</v>
      </c>
      <c r="C6" s="586">
        <v>10654617</v>
      </c>
      <c r="D6" s="684">
        <v>9.1999999999999993</v>
      </c>
      <c r="E6" s="586">
        <v>11374132</v>
      </c>
      <c r="F6" s="684">
        <v>10.199999999999999</v>
      </c>
      <c r="G6" s="586">
        <v>-719515</v>
      </c>
      <c r="H6" s="684">
        <v>-6.3</v>
      </c>
    </row>
    <row r="7" spans="1:8">
      <c r="A7" s="585">
        <v>5</v>
      </c>
      <c r="B7" s="585" t="s">
        <v>33</v>
      </c>
      <c r="C7" s="586">
        <v>77735</v>
      </c>
      <c r="D7" s="684">
        <v>0.1</v>
      </c>
      <c r="E7" s="586">
        <v>69324</v>
      </c>
      <c r="F7" s="684">
        <v>0.1</v>
      </c>
      <c r="G7" s="586">
        <v>8411</v>
      </c>
      <c r="H7" s="684">
        <v>12.1</v>
      </c>
    </row>
    <row r="8" spans="1:8">
      <c r="A8" s="585">
        <v>6</v>
      </c>
      <c r="B8" s="585" t="s">
        <v>56</v>
      </c>
      <c r="C8" s="586">
        <v>633315</v>
      </c>
      <c r="D8" s="684">
        <v>0.5</v>
      </c>
      <c r="E8" s="586">
        <v>825652</v>
      </c>
      <c r="F8" s="684">
        <v>0.7</v>
      </c>
      <c r="G8" s="586">
        <v>-192337</v>
      </c>
      <c r="H8" s="684">
        <v>-23.3</v>
      </c>
    </row>
    <row r="9" spans="1:8">
      <c r="A9" s="585">
        <v>7</v>
      </c>
      <c r="B9" s="585" t="s">
        <v>57</v>
      </c>
      <c r="C9" s="586">
        <v>492611</v>
      </c>
      <c r="D9" s="684">
        <v>0.4</v>
      </c>
      <c r="E9" s="586">
        <v>422081</v>
      </c>
      <c r="F9" s="684">
        <v>0.4</v>
      </c>
      <c r="G9" s="586">
        <v>70530</v>
      </c>
      <c r="H9" s="684">
        <v>16.7</v>
      </c>
    </row>
    <row r="10" spans="1:8">
      <c r="A10" s="585">
        <v>8</v>
      </c>
      <c r="B10" s="585" t="s">
        <v>58</v>
      </c>
      <c r="C10" s="586">
        <v>9770890</v>
      </c>
      <c r="D10" s="684">
        <v>8.4</v>
      </c>
      <c r="E10" s="586">
        <v>9275933</v>
      </c>
      <c r="F10" s="684">
        <v>8.2999999999999989</v>
      </c>
      <c r="G10" s="586">
        <v>494957</v>
      </c>
      <c r="H10" s="684">
        <v>5.3</v>
      </c>
    </row>
    <row r="11" spans="1:8">
      <c r="A11" s="585">
        <v>9</v>
      </c>
      <c r="B11" s="585" t="s">
        <v>59</v>
      </c>
      <c r="C11" s="586">
        <v>3993352</v>
      </c>
      <c r="D11" s="684">
        <v>3.5</v>
      </c>
      <c r="E11" s="586">
        <v>4001700</v>
      </c>
      <c r="F11" s="684">
        <v>3.6</v>
      </c>
      <c r="G11" s="586">
        <v>-8348</v>
      </c>
      <c r="H11" s="684">
        <v>-0.2</v>
      </c>
    </row>
    <row r="12" spans="1:8">
      <c r="A12" s="585">
        <v>10</v>
      </c>
      <c r="B12" s="585" t="s">
        <v>34</v>
      </c>
      <c r="C12" s="586">
        <v>15127824</v>
      </c>
      <c r="D12" s="684">
        <v>13.1</v>
      </c>
      <c r="E12" s="586">
        <v>13315148</v>
      </c>
      <c r="F12" s="684">
        <v>11.9</v>
      </c>
      <c r="G12" s="586">
        <v>1812676</v>
      </c>
      <c r="H12" s="684">
        <v>13.6</v>
      </c>
    </row>
    <row r="13" spans="1:8">
      <c r="A13" s="585">
        <v>11</v>
      </c>
      <c r="B13" s="585" t="s">
        <v>35</v>
      </c>
      <c r="C13" s="586">
        <v>10</v>
      </c>
      <c r="D13" s="684">
        <v>0</v>
      </c>
      <c r="E13" s="586">
        <v>10</v>
      </c>
      <c r="F13" s="684">
        <v>0</v>
      </c>
      <c r="G13" s="586">
        <v>0</v>
      </c>
      <c r="H13" s="684">
        <v>0</v>
      </c>
    </row>
    <row r="14" spans="1:8">
      <c r="A14" s="585">
        <v>12</v>
      </c>
      <c r="B14" s="585" t="s">
        <v>60</v>
      </c>
      <c r="C14" s="586">
        <v>7727231</v>
      </c>
      <c r="D14" s="684">
        <v>6.6999999999999993</v>
      </c>
      <c r="E14" s="586">
        <v>7783532</v>
      </c>
      <c r="F14" s="684">
        <v>7</v>
      </c>
      <c r="G14" s="586">
        <v>-56301</v>
      </c>
      <c r="H14" s="684">
        <v>-0.7</v>
      </c>
    </row>
    <row r="15" spans="1:8">
      <c r="A15" s="585">
        <v>13</v>
      </c>
      <c r="B15" s="585" t="s">
        <v>61</v>
      </c>
      <c r="C15" s="586">
        <v>42010</v>
      </c>
      <c r="D15" s="684">
        <v>0</v>
      </c>
      <c r="E15" s="586">
        <v>19010</v>
      </c>
      <c r="F15" s="684">
        <v>0</v>
      </c>
      <c r="G15" s="586">
        <v>23000</v>
      </c>
      <c r="H15" s="684">
        <v>121</v>
      </c>
    </row>
    <row r="16" spans="1:8">
      <c r="A16" s="585">
        <v>14</v>
      </c>
      <c r="B16" s="585" t="s">
        <v>36</v>
      </c>
      <c r="C16" s="586">
        <v>120000</v>
      </c>
      <c r="D16" s="684">
        <v>0.1</v>
      </c>
      <c r="E16" s="586">
        <v>120000</v>
      </c>
      <c r="F16" s="684">
        <v>0.1</v>
      </c>
      <c r="G16" s="586">
        <v>0</v>
      </c>
      <c r="H16" s="684">
        <v>0</v>
      </c>
    </row>
    <row r="17" spans="1:8">
      <c r="A17" s="585"/>
      <c r="B17" s="585" t="s">
        <v>312</v>
      </c>
      <c r="C17" s="586">
        <v>115700000</v>
      </c>
      <c r="D17" s="684">
        <v>100</v>
      </c>
      <c r="E17" s="586">
        <v>111800000</v>
      </c>
      <c r="F17" s="684">
        <v>100</v>
      </c>
      <c r="G17" s="586">
        <v>3900000</v>
      </c>
      <c r="H17" s="684">
        <v>3.5</v>
      </c>
    </row>
  </sheetData>
  <phoneticPr fontId="4"/>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election activeCell="J22" sqref="J22"/>
    </sheetView>
  </sheetViews>
  <sheetFormatPr defaultRowHeight="13.5"/>
  <cols>
    <col min="1" max="1" width="16.125" bestFit="1" customWidth="1"/>
    <col min="2" max="2" width="13.875" bestFit="1" customWidth="1"/>
    <col min="4" max="4" width="13.875" bestFit="1" customWidth="1"/>
    <col min="6" max="6" width="11.625" bestFit="1" customWidth="1"/>
  </cols>
  <sheetData>
    <row r="1" spans="1:8">
      <c r="E1" s="589"/>
      <c r="G1" s="589" t="s">
        <v>327</v>
      </c>
      <c r="H1" s="589"/>
    </row>
    <row r="2" spans="1:8">
      <c r="A2" s="585" t="s">
        <v>313</v>
      </c>
      <c r="B2" s="585" t="s">
        <v>76</v>
      </c>
      <c r="C2" s="585" t="s">
        <v>15</v>
      </c>
      <c r="D2" s="585" t="s">
        <v>44</v>
      </c>
      <c r="E2" s="585" t="s">
        <v>15</v>
      </c>
      <c r="F2" s="586" t="s">
        <v>12</v>
      </c>
      <c r="G2" s="585" t="s">
        <v>45</v>
      </c>
    </row>
    <row r="3" spans="1:8">
      <c r="A3" s="585" t="s">
        <v>37</v>
      </c>
      <c r="B3" s="586">
        <v>22924080</v>
      </c>
      <c r="C3" s="684">
        <v>19.8</v>
      </c>
      <c r="D3" s="586">
        <v>22147190</v>
      </c>
      <c r="E3" s="684">
        <v>19.8</v>
      </c>
      <c r="F3" s="586">
        <v>776890</v>
      </c>
      <c r="G3" s="684">
        <v>3.5</v>
      </c>
    </row>
    <row r="4" spans="1:8">
      <c r="A4" s="585" t="s">
        <v>64</v>
      </c>
      <c r="B4" s="586">
        <v>32291580</v>
      </c>
      <c r="C4" s="684">
        <v>27.9</v>
      </c>
      <c r="D4" s="586">
        <v>31231840</v>
      </c>
      <c r="E4" s="684">
        <v>27.9</v>
      </c>
      <c r="F4" s="586">
        <v>1059740</v>
      </c>
      <c r="G4" s="684">
        <v>3.4</v>
      </c>
    </row>
    <row r="5" spans="1:8">
      <c r="A5" s="585" t="s">
        <v>60</v>
      </c>
      <c r="B5" s="586">
        <v>7727231</v>
      </c>
      <c r="C5" s="684">
        <v>6.6999999999999993</v>
      </c>
      <c r="D5" s="586">
        <v>7783532</v>
      </c>
      <c r="E5" s="684">
        <v>7</v>
      </c>
      <c r="F5" s="586">
        <v>-56301</v>
      </c>
      <c r="G5" s="684">
        <v>-0.7</v>
      </c>
    </row>
    <row r="6" spans="1:8">
      <c r="A6" s="585" t="s">
        <v>314</v>
      </c>
      <c r="B6" s="586">
        <v>62942891</v>
      </c>
      <c r="C6" s="684">
        <v>54.4</v>
      </c>
      <c r="D6" s="586">
        <v>61162562</v>
      </c>
      <c r="E6" s="684">
        <v>54.7</v>
      </c>
      <c r="F6" s="586">
        <v>1780329</v>
      </c>
      <c r="G6" s="684">
        <v>2.9</v>
      </c>
    </row>
    <row r="7" spans="1:8">
      <c r="A7" s="585" t="s">
        <v>66</v>
      </c>
      <c r="B7" s="586">
        <v>19085382</v>
      </c>
      <c r="C7" s="684">
        <v>16.5</v>
      </c>
      <c r="D7" s="586">
        <v>20794477</v>
      </c>
      <c r="E7" s="684">
        <v>18.600000000000001</v>
      </c>
      <c r="F7" s="586">
        <v>-1709095</v>
      </c>
      <c r="G7" s="684">
        <v>-8.1999999999999993</v>
      </c>
    </row>
    <row r="8" spans="1:8">
      <c r="A8" s="585" t="s">
        <v>67</v>
      </c>
      <c r="B8" s="586">
        <v>523980</v>
      </c>
      <c r="C8" s="684">
        <v>0.4</v>
      </c>
      <c r="D8" s="586">
        <v>429060</v>
      </c>
      <c r="E8" s="684">
        <v>0.4</v>
      </c>
      <c r="F8" s="586">
        <v>94920</v>
      </c>
      <c r="G8" s="684">
        <v>22.1</v>
      </c>
    </row>
    <row r="9" spans="1:8">
      <c r="A9" s="585" t="s">
        <v>68</v>
      </c>
      <c r="B9" s="586">
        <v>11699927</v>
      </c>
      <c r="C9" s="684">
        <v>10.1</v>
      </c>
      <c r="D9" s="586">
        <v>10144391</v>
      </c>
      <c r="E9" s="684">
        <v>9.1</v>
      </c>
      <c r="F9" s="586">
        <v>1555536</v>
      </c>
      <c r="G9" s="684">
        <v>15.3</v>
      </c>
    </row>
    <row r="10" spans="1:8">
      <c r="A10" s="585" t="s">
        <v>69</v>
      </c>
      <c r="B10" s="586">
        <v>69450</v>
      </c>
      <c r="C10" s="684">
        <v>0.1</v>
      </c>
      <c r="D10" s="586">
        <v>47120</v>
      </c>
      <c r="E10" s="684">
        <v>0</v>
      </c>
      <c r="F10" s="586">
        <v>22330</v>
      </c>
      <c r="G10" s="684">
        <v>47.4</v>
      </c>
    </row>
    <row r="11" spans="1:8">
      <c r="A11" s="585" t="s">
        <v>38</v>
      </c>
      <c r="B11" s="587">
        <v>0</v>
      </c>
      <c r="C11" s="685">
        <v>0</v>
      </c>
      <c r="D11" s="587">
        <v>0</v>
      </c>
      <c r="E11" s="685">
        <v>0</v>
      </c>
      <c r="F11" s="587">
        <v>0</v>
      </c>
      <c r="G11" s="685">
        <v>0</v>
      </c>
    </row>
    <row r="12" spans="1:8">
      <c r="A12" s="585" t="s">
        <v>70</v>
      </c>
      <c r="B12" s="586">
        <v>114010</v>
      </c>
      <c r="C12" s="684">
        <v>0.1</v>
      </c>
      <c r="D12" s="586">
        <v>123010</v>
      </c>
      <c r="E12" s="684">
        <v>0.1</v>
      </c>
      <c r="F12" s="586">
        <v>-9000</v>
      </c>
      <c r="G12" s="684">
        <v>-7.3</v>
      </c>
    </row>
    <row r="13" spans="1:8">
      <c r="A13" s="585" t="s">
        <v>71</v>
      </c>
      <c r="B13" s="586">
        <v>8230600</v>
      </c>
      <c r="C13" s="684">
        <v>7.1</v>
      </c>
      <c r="D13" s="586">
        <v>7821500</v>
      </c>
      <c r="E13" s="684">
        <v>7</v>
      </c>
      <c r="F13" s="586">
        <v>409100</v>
      </c>
      <c r="G13" s="684">
        <v>5.2</v>
      </c>
    </row>
    <row r="14" spans="1:8">
      <c r="A14" s="585" t="s">
        <v>39</v>
      </c>
      <c r="B14" s="586">
        <v>12913750</v>
      </c>
      <c r="C14" s="684">
        <v>11.2</v>
      </c>
      <c r="D14" s="586">
        <v>11157870</v>
      </c>
      <c r="E14" s="684">
        <v>10</v>
      </c>
      <c r="F14" s="586">
        <v>1755880</v>
      </c>
      <c r="G14" s="684">
        <v>15.7</v>
      </c>
    </row>
    <row r="15" spans="1:8">
      <c r="A15" s="585" t="s">
        <v>315</v>
      </c>
      <c r="B15" s="586">
        <v>2147300</v>
      </c>
      <c r="C15" s="684">
        <v>1.9000000000000001</v>
      </c>
      <c r="D15" s="586">
        <v>1941700</v>
      </c>
      <c r="E15" s="684">
        <v>1.7</v>
      </c>
      <c r="F15" s="586">
        <v>205600</v>
      </c>
      <c r="G15" s="684">
        <v>10.6</v>
      </c>
    </row>
    <row r="16" spans="1:8">
      <c r="A16" s="585" t="s">
        <v>316</v>
      </c>
      <c r="B16" s="586">
        <v>10654950</v>
      </c>
      <c r="C16" s="684">
        <v>9.1999999999999993</v>
      </c>
      <c r="D16" s="586">
        <v>9132770</v>
      </c>
      <c r="E16" s="684">
        <v>8.1999999999999993</v>
      </c>
      <c r="F16" s="586">
        <v>1522180</v>
      </c>
      <c r="G16" s="684">
        <v>16.7</v>
      </c>
    </row>
    <row r="17" spans="1:7">
      <c r="A17" s="585" t="s">
        <v>317</v>
      </c>
      <c r="B17" s="586">
        <v>111500</v>
      </c>
      <c r="C17" s="684">
        <v>0.1</v>
      </c>
      <c r="D17" s="586">
        <v>83400</v>
      </c>
      <c r="E17" s="684">
        <v>0.1</v>
      </c>
      <c r="F17" s="586">
        <v>28100</v>
      </c>
      <c r="G17" s="684">
        <v>33.700000000000003</v>
      </c>
    </row>
    <row r="18" spans="1:7">
      <c r="A18" s="585" t="s">
        <v>75</v>
      </c>
      <c r="B18" s="586">
        <v>10</v>
      </c>
      <c r="C18" s="684">
        <v>0</v>
      </c>
      <c r="D18" s="586">
        <v>10</v>
      </c>
      <c r="E18" s="684">
        <v>0</v>
      </c>
      <c r="F18" s="586">
        <v>0</v>
      </c>
      <c r="G18" s="684">
        <v>0</v>
      </c>
    </row>
    <row r="19" spans="1:7">
      <c r="A19" s="585" t="s">
        <v>36</v>
      </c>
      <c r="B19" s="586">
        <v>120000</v>
      </c>
      <c r="C19" s="684">
        <v>0.1</v>
      </c>
      <c r="D19" s="586">
        <v>120000</v>
      </c>
      <c r="E19" s="684">
        <v>0.1</v>
      </c>
      <c r="F19" s="586">
        <v>0</v>
      </c>
      <c r="G19" s="684">
        <v>0</v>
      </c>
    </row>
    <row r="20" spans="1:7">
      <c r="A20" s="585" t="s">
        <v>312</v>
      </c>
      <c r="B20" s="586">
        <v>115700000</v>
      </c>
      <c r="C20" s="684">
        <v>99.999999999999986</v>
      </c>
      <c r="D20" s="586">
        <v>111800000</v>
      </c>
      <c r="E20" s="684">
        <v>100</v>
      </c>
      <c r="F20" s="586">
        <v>3900000</v>
      </c>
      <c r="G20" s="684">
        <v>3.5</v>
      </c>
    </row>
  </sheetData>
  <phoneticPr fontId="4"/>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K15" sqref="K15:K16"/>
    </sheetView>
  </sheetViews>
  <sheetFormatPr defaultRowHeight="13.5"/>
  <cols>
    <col min="2" max="2" width="25" bestFit="1" customWidth="1"/>
    <col min="3" max="3" width="15.75" customWidth="1"/>
    <col min="5" max="5" width="16.125" customWidth="1"/>
    <col min="7" max="7" width="14.375" customWidth="1"/>
  </cols>
  <sheetData>
    <row r="1" spans="1:8">
      <c r="H1" s="589" t="s">
        <v>327</v>
      </c>
    </row>
    <row r="2" spans="1:8">
      <c r="A2" s="585" t="s">
        <v>88</v>
      </c>
      <c r="B2" s="585" t="s">
        <v>320</v>
      </c>
      <c r="C2" s="585" t="s">
        <v>76</v>
      </c>
      <c r="D2" s="585" t="s">
        <v>15</v>
      </c>
      <c r="E2" s="585" t="s">
        <v>44</v>
      </c>
      <c r="F2" s="585" t="s">
        <v>15</v>
      </c>
      <c r="G2" s="586" t="s">
        <v>12</v>
      </c>
      <c r="H2" s="585" t="s">
        <v>45</v>
      </c>
    </row>
    <row r="3" spans="1:8">
      <c r="A3" s="585" t="s">
        <v>121</v>
      </c>
      <c r="B3" s="585" t="s">
        <v>18</v>
      </c>
      <c r="C3" s="586">
        <v>47149000</v>
      </c>
      <c r="D3" s="684">
        <v>40.800000000000004</v>
      </c>
      <c r="E3" s="586">
        <v>48244000</v>
      </c>
      <c r="F3" s="684">
        <v>43.2</v>
      </c>
      <c r="G3" s="586">
        <v>-1095000</v>
      </c>
      <c r="H3" s="684">
        <v>-2.2999999999999998</v>
      </c>
    </row>
    <row r="4" spans="1:8">
      <c r="A4" s="585" t="s">
        <v>121</v>
      </c>
      <c r="B4" s="585" t="s">
        <v>25</v>
      </c>
      <c r="C4" s="586">
        <v>532880</v>
      </c>
      <c r="D4" s="684">
        <v>0.5</v>
      </c>
      <c r="E4" s="586">
        <v>495280</v>
      </c>
      <c r="F4" s="684">
        <v>0.4</v>
      </c>
      <c r="G4" s="586">
        <v>37600</v>
      </c>
      <c r="H4" s="684">
        <v>7.6</v>
      </c>
    </row>
    <row r="5" spans="1:8">
      <c r="A5" s="585" t="s">
        <v>121</v>
      </c>
      <c r="B5" s="585" t="s">
        <v>48</v>
      </c>
      <c r="C5" s="586">
        <v>1531925</v>
      </c>
      <c r="D5" s="684">
        <v>1.3</v>
      </c>
      <c r="E5" s="586">
        <v>1467075</v>
      </c>
      <c r="F5" s="684">
        <v>1.3</v>
      </c>
      <c r="G5" s="586">
        <v>64850</v>
      </c>
      <c r="H5" s="684">
        <v>4.4000000000000004</v>
      </c>
    </row>
    <row r="6" spans="1:8">
      <c r="A6" s="585" t="s">
        <v>121</v>
      </c>
      <c r="B6" s="585" t="s">
        <v>28</v>
      </c>
      <c r="C6" s="586">
        <v>103010</v>
      </c>
      <c r="D6" s="684">
        <v>0.1</v>
      </c>
      <c r="E6" s="586">
        <v>85610</v>
      </c>
      <c r="F6" s="684">
        <v>0.1</v>
      </c>
      <c r="G6" s="586">
        <v>17400</v>
      </c>
      <c r="H6" s="684">
        <v>20.3</v>
      </c>
    </row>
    <row r="7" spans="1:8">
      <c r="A7" s="585" t="s">
        <v>121</v>
      </c>
      <c r="B7" s="585" t="s">
        <v>29</v>
      </c>
      <c r="C7" s="586">
        <v>52000</v>
      </c>
      <c r="D7" s="684">
        <v>0</v>
      </c>
      <c r="E7" s="586">
        <v>13010</v>
      </c>
      <c r="F7" s="684">
        <v>0</v>
      </c>
      <c r="G7" s="586">
        <v>38990</v>
      </c>
      <c r="H7" s="684">
        <v>299.7</v>
      </c>
    </row>
    <row r="8" spans="1:8">
      <c r="A8" s="585" t="s">
        <v>121</v>
      </c>
      <c r="B8" s="585" t="s">
        <v>49</v>
      </c>
      <c r="C8" s="586">
        <v>7138910</v>
      </c>
      <c r="D8" s="684">
        <v>6.1999999999999993</v>
      </c>
      <c r="E8" s="586">
        <v>6942710</v>
      </c>
      <c r="F8" s="684">
        <v>6.2</v>
      </c>
      <c r="G8" s="586">
        <v>196200</v>
      </c>
      <c r="H8" s="684">
        <v>2.8</v>
      </c>
    </row>
    <row r="9" spans="1:8">
      <c r="A9" s="585" t="s">
        <v>121</v>
      </c>
      <c r="B9" s="585" t="s">
        <v>50</v>
      </c>
      <c r="C9" s="586">
        <v>1000000</v>
      </c>
      <c r="D9" s="684">
        <v>0.9</v>
      </c>
      <c r="E9" s="586">
        <v>1000000</v>
      </c>
      <c r="F9" s="684">
        <v>0.9</v>
      </c>
      <c r="G9" s="586">
        <v>0</v>
      </c>
      <c r="H9" s="684">
        <v>0</v>
      </c>
    </row>
    <row r="10" spans="1:8">
      <c r="A10" s="585" t="s">
        <v>121</v>
      </c>
      <c r="B10" s="585" t="s">
        <v>51</v>
      </c>
      <c r="C10" s="586">
        <v>3016865</v>
      </c>
      <c r="D10" s="684">
        <v>2.6</v>
      </c>
      <c r="E10" s="586">
        <v>3201055</v>
      </c>
      <c r="F10" s="684">
        <v>2.9</v>
      </c>
      <c r="G10" s="586">
        <v>-184190</v>
      </c>
      <c r="H10" s="684">
        <v>-5.8</v>
      </c>
    </row>
    <row r="11" spans="1:8">
      <c r="A11" s="585" t="s">
        <v>121</v>
      </c>
      <c r="B11" s="585" t="s">
        <v>319</v>
      </c>
      <c r="C11" s="586">
        <v>60524590</v>
      </c>
      <c r="D11" s="684">
        <v>52.400000000000006</v>
      </c>
      <c r="E11" s="586">
        <v>61448740</v>
      </c>
      <c r="F11" s="684">
        <v>55</v>
      </c>
      <c r="G11" s="586">
        <v>-924150</v>
      </c>
      <c r="H11" s="684">
        <v>-1.5</v>
      </c>
    </row>
    <row r="12" spans="1:8">
      <c r="A12" s="585" t="s">
        <v>123</v>
      </c>
      <c r="B12" s="585" t="s">
        <v>47</v>
      </c>
      <c r="C12" s="586">
        <v>717000</v>
      </c>
      <c r="D12" s="684">
        <v>0.6</v>
      </c>
      <c r="E12" s="586">
        <v>716000</v>
      </c>
      <c r="F12" s="684">
        <v>0.6</v>
      </c>
      <c r="G12" s="586">
        <v>1000</v>
      </c>
      <c r="H12" s="684">
        <v>0.1</v>
      </c>
    </row>
    <row r="13" spans="1:8">
      <c r="A13" s="585" t="s">
        <v>123</v>
      </c>
      <c r="B13" s="585" t="s">
        <v>19</v>
      </c>
      <c r="C13" s="586">
        <v>20000</v>
      </c>
      <c r="D13" s="684">
        <v>0</v>
      </c>
      <c r="E13" s="586">
        <v>20000</v>
      </c>
      <c r="F13" s="684">
        <v>0</v>
      </c>
      <c r="G13" s="586">
        <v>0</v>
      </c>
      <c r="H13" s="684">
        <v>0</v>
      </c>
    </row>
    <row r="14" spans="1:8">
      <c r="A14" s="585" t="s">
        <v>123</v>
      </c>
      <c r="B14" s="585" t="s">
        <v>83</v>
      </c>
      <c r="C14" s="586">
        <v>250000</v>
      </c>
      <c r="D14" s="684">
        <v>0.2</v>
      </c>
      <c r="E14" s="586">
        <v>250000</v>
      </c>
      <c r="F14" s="684">
        <v>0.2</v>
      </c>
      <c r="G14" s="586">
        <v>0</v>
      </c>
      <c r="H14" s="684">
        <v>0</v>
      </c>
    </row>
    <row r="15" spans="1:8">
      <c r="A15" s="585" t="s">
        <v>123</v>
      </c>
      <c r="B15" s="585" t="s">
        <v>84</v>
      </c>
      <c r="C15" s="586">
        <v>200000</v>
      </c>
      <c r="D15" s="684">
        <v>0.2</v>
      </c>
      <c r="E15" s="586">
        <v>200000</v>
      </c>
      <c r="F15" s="684">
        <v>0.2</v>
      </c>
      <c r="G15" s="586">
        <v>0</v>
      </c>
      <c r="H15" s="684">
        <v>0</v>
      </c>
    </row>
    <row r="16" spans="1:8">
      <c r="A16" s="585" t="s">
        <v>123</v>
      </c>
      <c r="B16" s="585" t="s">
        <v>196</v>
      </c>
      <c r="C16" s="586">
        <v>500000</v>
      </c>
      <c r="D16" s="684">
        <v>0.4</v>
      </c>
      <c r="E16" s="586">
        <v>500000</v>
      </c>
      <c r="F16" s="684">
        <v>0.5</v>
      </c>
      <c r="G16" s="586">
        <v>0</v>
      </c>
      <c r="H16" s="684">
        <v>0</v>
      </c>
    </row>
    <row r="17" spans="1:8">
      <c r="A17" s="585" t="s">
        <v>123</v>
      </c>
      <c r="B17" s="585" t="s">
        <v>20</v>
      </c>
      <c r="C17" s="586">
        <v>7700000</v>
      </c>
      <c r="D17" s="684">
        <v>6.6999999999999993</v>
      </c>
      <c r="E17" s="586">
        <v>7800000</v>
      </c>
      <c r="F17" s="684">
        <v>7</v>
      </c>
      <c r="G17" s="586">
        <v>-100000</v>
      </c>
      <c r="H17" s="684">
        <v>-1.3</v>
      </c>
    </row>
    <row r="18" spans="1:8">
      <c r="A18" s="585" t="s">
        <v>123</v>
      </c>
      <c r="B18" s="585" t="s">
        <v>318</v>
      </c>
      <c r="C18" s="586">
        <v>170000</v>
      </c>
      <c r="D18" s="684">
        <v>0.1</v>
      </c>
      <c r="E18" s="586">
        <v>120000</v>
      </c>
      <c r="F18" s="684">
        <v>0.1</v>
      </c>
      <c r="G18" s="586">
        <v>50000</v>
      </c>
      <c r="H18" s="684">
        <v>41.7</v>
      </c>
    </row>
    <row r="19" spans="1:8">
      <c r="A19" s="585" t="s">
        <v>123</v>
      </c>
      <c r="B19" s="585" t="s">
        <v>22</v>
      </c>
      <c r="C19" s="586">
        <v>1990000</v>
      </c>
      <c r="D19" s="684">
        <v>1.7</v>
      </c>
      <c r="E19" s="586">
        <v>440000</v>
      </c>
      <c r="F19" s="684">
        <v>0.4</v>
      </c>
      <c r="G19" s="586">
        <v>1550000</v>
      </c>
      <c r="H19" s="684">
        <v>352.3</v>
      </c>
    </row>
    <row r="20" spans="1:8">
      <c r="A20" s="585" t="s">
        <v>123</v>
      </c>
      <c r="B20" s="585" t="s">
        <v>23</v>
      </c>
      <c r="C20" s="586">
        <v>5900000</v>
      </c>
      <c r="D20" s="684">
        <v>5.0999999999999996</v>
      </c>
      <c r="E20" s="586">
        <v>4200000</v>
      </c>
      <c r="F20" s="684">
        <v>3.8000000000000003</v>
      </c>
      <c r="G20" s="586">
        <v>1700000</v>
      </c>
      <c r="H20" s="684">
        <v>40.5</v>
      </c>
    </row>
    <row r="21" spans="1:8">
      <c r="A21" s="585" t="s">
        <v>123</v>
      </c>
      <c r="B21" s="585" t="s">
        <v>24</v>
      </c>
      <c r="C21" s="586">
        <v>42000</v>
      </c>
      <c r="D21" s="684">
        <v>0</v>
      </c>
      <c r="E21" s="586">
        <v>42000</v>
      </c>
      <c r="F21" s="684">
        <v>0</v>
      </c>
      <c r="G21" s="586">
        <v>0</v>
      </c>
      <c r="H21" s="684">
        <v>0</v>
      </c>
    </row>
    <row r="22" spans="1:8">
      <c r="A22" s="585" t="s">
        <v>123</v>
      </c>
      <c r="B22" s="585" t="s">
        <v>26</v>
      </c>
      <c r="C22" s="586">
        <v>20868640</v>
      </c>
      <c r="D22" s="684">
        <v>18</v>
      </c>
      <c r="E22" s="586">
        <v>20504780</v>
      </c>
      <c r="F22" s="684">
        <v>18.3</v>
      </c>
      <c r="G22" s="586">
        <v>363860</v>
      </c>
      <c r="H22" s="684">
        <v>1.8</v>
      </c>
    </row>
    <row r="23" spans="1:8">
      <c r="A23" s="585" t="s">
        <v>123</v>
      </c>
      <c r="B23" s="585" t="s">
        <v>27</v>
      </c>
      <c r="C23" s="586">
        <v>7607370</v>
      </c>
      <c r="D23" s="684">
        <v>6.6</v>
      </c>
      <c r="E23" s="586">
        <v>7394680</v>
      </c>
      <c r="F23" s="684">
        <v>6.6</v>
      </c>
      <c r="G23" s="586">
        <v>212690</v>
      </c>
      <c r="H23" s="684">
        <v>2.9</v>
      </c>
    </row>
    <row r="24" spans="1:8">
      <c r="A24" s="585" t="s">
        <v>123</v>
      </c>
      <c r="B24" s="585" t="s">
        <v>52</v>
      </c>
      <c r="C24" s="586">
        <v>9210400</v>
      </c>
      <c r="D24" s="684">
        <v>8</v>
      </c>
      <c r="E24" s="586">
        <v>8163800</v>
      </c>
      <c r="F24" s="684">
        <v>7.3</v>
      </c>
      <c r="G24" s="586">
        <v>1046600</v>
      </c>
      <c r="H24" s="684">
        <v>12.8</v>
      </c>
    </row>
    <row r="25" spans="1:8">
      <c r="A25" s="585" t="s">
        <v>123</v>
      </c>
      <c r="B25" s="585" t="s">
        <v>319</v>
      </c>
      <c r="C25" s="586">
        <v>55175410</v>
      </c>
      <c r="D25" s="684">
        <v>47.6</v>
      </c>
      <c r="E25" s="586">
        <v>50351260</v>
      </c>
      <c r="F25" s="684">
        <v>45</v>
      </c>
      <c r="G25" s="586">
        <v>4824150</v>
      </c>
      <c r="H25" s="684">
        <v>9.6</v>
      </c>
    </row>
    <row r="26" spans="1:8">
      <c r="A26" s="585" t="s">
        <v>311</v>
      </c>
      <c r="B26" s="585"/>
      <c r="C26" s="586">
        <v>115700000</v>
      </c>
      <c r="D26" s="684">
        <v>100</v>
      </c>
      <c r="E26" s="586">
        <v>111800000</v>
      </c>
      <c r="F26" s="684">
        <v>100</v>
      </c>
      <c r="G26" s="586">
        <v>3900000</v>
      </c>
      <c r="H26" s="684">
        <v>3.5</v>
      </c>
    </row>
    <row r="27" spans="1:8">
      <c r="E27" s="588"/>
    </row>
  </sheetData>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O33"/>
  <sheetViews>
    <sheetView showGridLines="0" view="pageBreakPreview" zoomScaleNormal="85" zoomScaleSheetLayoutView="100" workbookViewId="0">
      <selection activeCell="G66" sqref="G66"/>
    </sheetView>
  </sheetViews>
  <sheetFormatPr defaultColWidth="8" defaultRowHeight="13.5"/>
  <cols>
    <col min="1" max="1" width="3" style="228" customWidth="1"/>
    <col min="2" max="2" width="32.625" style="213" customWidth="1"/>
    <col min="3" max="4" width="14.5" style="213" customWidth="1"/>
    <col min="5" max="5" width="13.875" style="213" bestFit="1" customWidth="1"/>
    <col min="6" max="6" width="2.625" style="214" customWidth="1"/>
    <col min="7" max="7" width="3.375" style="228" customWidth="1"/>
    <col min="8" max="8" width="36.125" style="228" bestFit="1" customWidth="1"/>
    <col min="9" max="10" width="13.875" style="228" customWidth="1"/>
    <col min="11" max="11" width="4.5" style="228" customWidth="1"/>
    <col min="12" max="12" width="9.5" style="228" bestFit="1" customWidth="1"/>
    <col min="13" max="14" width="12.875" style="228" bestFit="1" customWidth="1"/>
    <col min="15" max="15" width="13.875" style="225" customWidth="1"/>
    <col min="16" max="16" width="1.875" style="228" customWidth="1"/>
    <col min="17" max="16384" width="8" style="228"/>
  </cols>
  <sheetData>
    <row r="1" spans="1:15">
      <c r="A1" s="423"/>
      <c r="B1" s="424"/>
      <c r="C1" s="424"/>
      <c r="D1" s="424"/>
      <c r="E1" s="424"/>
      <c r="F1" s="432"/>
      <c r="G1" s="433"/>
    </row>
    <row r="2" spans="1:15" s="219" customFormat="1" ht="21">
      <c r="A2" s="425"/>
      <c r="B2" s="426" t="s">
        <v>249</v>
      </c>
      <c r="C2" s="424"/>
      <c r="D2" s="424"/>
      <c r="E2" s="424"/>
      <c r="F2" s="432"/>
      <c r="G2" s="434"/>
      <c r="H2" s="215"/>
      <c r="I2" s="215"/>
      <c r="J2" s="216"/>
      <c r="K2" s="216"/>
      <c r="L2" s="212"/>
      <c r="M2" s="217"/>
      <c r="N2" s="217"/>
      <c r="O2" s="218"/>
    </row>
    <row r="3" spans="1:15" s="219" customFormat="1" ht="16.5" customHeight="1">
      <c r="A3" s="425"/>
      <c r="B3" s="427"/>
      <c r="C3" s="427"/>
      <c r="D3" s="427"/>
      <c r="E3" s="428" t="s">
        <v>159</v>
      </c>
      <c r="F3" s="435"/>
      <c r="G3" s="436"/>
      <c r="H3" s="221"/>
      <c r="I3" s="222"/>
      <c r="L3" s="223"/>
      <c r="M3" s="224"/>
      <c r="N3" s="224"/>
      <c r="O3" s="225"/>
    </row>
    <row r="4" spans="1:15" ht="28.5">
      <c r="A4" s="429"/>
      <c r="B4" s="422" t="s">
        <v>166</v>
      </c>
      <c r="C4" s="430" t="s">
        <v>250</v>
      </c>
      <c r="D4" s="430" t="s">
        <v>251</v>
      </c>
      <c r="E4" s="422" t="s">
        <v>234</v>
      </c>
      <c r="F4" s="437"/>
      <c r="G4" s="438"/>
      <c r="H4" s="226"/>
      <c r="I4" s="227"/>
      <c r="L4" s="229"/>
      <c r="M4" s="230"/>
      <c r="N4" s="230"/>
    </row>
    <row r="5" spans="1:15" ht="16.5" customHeight="1">
      <c r="A5" s="431"/>
      <c r="B5" s="411" t="s">
        <v>188</v>
      </c>
      <c r="C5" s="412">
        <v>0</v>
      </c>
      <c r="D5" s="412">
        <v>1733270</v>
      </c>
      <c r="E5" s="413">
        <f>C5-D5</f>
        <v>-1733270</v>
      </c>
      <c r="F5" s="439"/>
      <c r="G5" s="438"/>
      <c r="H5" s="226"/>
      <c r="I5" s="227"/>
      <c r="L5" s="229"/>
      <c r="M5" s="230"/>
      <c r="N5" s="230"/>
    </row>
    <row r="6" spans="1:15" ht="16.5" customHeight="1">
      <c r="A6" s="431"/>
      <c r="B6" s="411" t="s">
        <v>298</v>
      </c>
      <c r="C6" s="414">
        <v>742950</v>
      </c>
      <c r="D6" s="414">
        <v>68600</v>
      </c>
      <c r="E6" s="413">
        <f t="shared" ref="E6:E14" si="0">C6-D6</f>
        <v>674350</v>
      </c>
      <c r="F6" s="439"/>
      <c r="G6" s="440"/>
      <c r="H6" s="226"/>
      <c r="I6" s="231"/>
      <c r="L6" s="229"/>
      <c r="M6" s="230"/>
      <c r="N6" s="230"/>
    </row>
    <row r="7" spans="1:15" ht="16.5" customHeight="1">
      <c r="A7" s="429"/>
      <c r="B7" s="411" t="s">
        <v>304</v>
      </c>
      <c r="C7" s="412">
        <v>977640</v>
      </c>
      <c r="D7" s="412">
        <v>500420</v>
      </c>
      <c r="E7" s="413">
        <f t="shared" si="0"/>
        <v>477220</v>
      </c>
      <c r="F7" s="439"/>
      <c r="G7" s="440"/>
      <c r="H7" s="226"/>
      <c r="I7" s="231"/>
      <c r="L7" s="229"/>
      <c r="M7" s="230"/>
      <c r="N7" s="230"/>
    </row>
    <row r="8" spans="1:15" ht="16.5" customHeight="1">
      <c r="A8" s="429"/>
      <c r="B8" s="411" t="s">
        <v>302</v>
      </c>
      <c r="C8" s="412">
        <v>0</v>
      </c>
      <c r="D8" s="412">
        <v>1563300</v>
      </c>
      <c r="E8" s="413">
        <f t="shared" ref="E8:E12" si="1">C8-D8</f>
        <v>-1563300</v>
      </c>
      <c r="F8" s="439"/>
      <c r="G8" s="440"/>
      <c r="H8" s="226"/>
      <c r="I8" s="231"/>
      <c r="L8" s="229"/>
      <c r="M8" s="230"/>
      <c r="N8" s="230"/>
    </row>
    <row r="9" spans="1:15" ht="16.5" customHeight="1">
      <c r="A9" s="429"/>
      <c r="B9" s="411" t="s">
        <v>303</v>
      </c>
      <c r="C9" s="414">
        <v>45214</v>
      </c>
      <c r="D9" s="414">
        <v>745054</v>
      </c>
      <c r="E9" s="413">
        <f t="shared" si="1"/>
        <v>-699840</v>
      </c>
      <c r="F9" s="439"/>
      <c r="G9" s="440"/>
      <c r="H9" s="226"/>
      <c r="I9" s="231"/>
      <c r="L9" s="229"/>
      <c r="M9" s="230"/>
      <c r="N9" s="230"/>
    </row>
    <row r="10" spans="1:15" ht="16.5" customHeight="1">
      <c r="A10" s="429"/>
      <c r="B10" s="411" t="s">
        <v>300</v>
      </c>
      <c r="C10" s="415">
        <v>1654760</v>
      </c>
      <c r="D10" s="415">
        <v>1063710</v>
      </c>
      <c r="E10" s="413">
        <f t="shared" si="1"/>
        <v>591050</v>
      </c>
      <c r="F10" s="439"/>
      <c r="G10" s="433"/>
      <c r="H10" s="232"/>
      <c r="L10" s="229"/>
      <c r="M10" s="230"/>
      <c r="N10" s="230"/>
    </row>
    <row r="11" spans="1:15" ht="16.5" customHeight="1">
      <c r="A11" s="429"/>
      <c r="B11" s="411" t="s">
        <v>301</v>
      </c>
      <c r="C11" s="415">
        <v>1800000</v>
      </c>
      <c r="D11" s="415">
        <v>1310000</v>
      </c>
      <c r="E11" s="413">
        <f t="shared" si="1"/>
        <v>490000</v>
      </c>
      <c r="F11" s="439"/>
      <c r="G11" s="438"/>
      <c r="H11" s="232"/>
      <c r="I11" s="227"/>
      <c r="L11" s="229"/>
      <c r="M11" s="230"/>
      <c r="N11" s="230"/>
    </row>
    <row r="12" spans="1:15" ht="16.5" customHeight="1">
      <c r="A12" s="429"/>
      <c r="B12" s="411" t="s">
        <v>244</v>
      </c>
      <c r="C12" s="414">
        <v>304400</v>
      </c>
      <c r="D12" s="414">
        <v>507000</v>
      </c>
      <c r="E12" s="413">
        <f t="shared" si="1"/>
        <v>-202600</v>
      </c>
      <c r="F12" s="439"/>
      <c r="G12" s="438"/>
      <c r="H12" s="232"/>
      <c r="I12" s="227"/>
      <c r="L12" s="229"/>
      <c r="M12" s="230"/>
      <c r="N12" s="230"/>
    </row>
    <row r="13" spans="1:15" ht="16.5" customHeight="1">
      <c r="A13" s="429"/>
      <c r="B13" s="411" t="s">
        <v>306</v>
      </c>
      <c r="C13" s="412">
        <v>1092000</v>
      </c>
      <c r="D13" s="412">
        <v>920300</v>
      </c>
      <c r="E13" s="413">
        <f t="shared" si="0"/>
        <v>171700</v>
      </c>
      <c r="F13" s="439"/>
      <c r="G13" s="438"/>
      <c r="H13" s="232"/>
      <c r="I13" s="227"/>
      <c r="L13" s="229"/>
      <c r="M13" s="230"/>
      <c r="N13" s="230"/>
    </row>
    <row r="14" spans="1:15" s="235" customFormat="1" ht="16.5" customHeight="1">
      <c r="A14" s="362"/>
      <c r="B14" s="411" t="s">
        <v>307</v>
      </c>
      <c r="C14" s="412">
        <v>1496100</v>
      </c>
      <c r="D14" s="412">
        <v>20400</v>
      </c>
      <c r="E14" s="413">
        <f t="shared" si="0"/>
        <v>1475700</v>
      </c>
      <c r="F14" s="441"/>
      <c r="G14" s="442"/>
      <c r="H14" s="233"/>
      <c r="I14" s="234"/>
      <c r="L14" s="236"/>
      <c r="M14" s="237"/>
      <c r="N14" s="237"/>
      <c r="O14" s="238"/>
    </row>
    <row r="15" spans="1:15" ht="16.5" customHeight="1">
      <c r="A15" s="431"/>
      <c r="B15" s="329"/>
      <c r="C15" s="330"/>
      <c r="D15" s="330"/>
      <c r="E15" s="331"/>
      <c r="F15" s="443"/>
      <c r="G15" s="433"/>
      <c r="L15" s="239"/>
      <c r="M15" s="240"/>
      <c r="N15" s="240"/>
    </row>
    <row r="16" spans="1:15">
      <c r="C16" s="443"/>
      <c r="D16" s="443"/>
      <c r="E16" s="443"/>
      <c r="F16" s="443"/>
      <c r="G16" s="433"/>
    </row>
    <row r="17" spans="1:7">
      <c r="A17" s="433"/>
      <c r="B17" s="443"/>
      <c r="C17" s="443"/>
      <c r="D17" s="443"/>
      <c r="E17" s="443"/>
      <c r="F17" s="443"/>
      <c r="G17" s="433"/>
    </row>
    <row r="20" spans="1:7">
      <c r="A20" s="433"/>
      <c r="B20" s="443"/>
    </row>
    <row r="21" spans="1:7">
      <c r="D21" s="389"/>
    </row>
    <row r="22" spans="1:7" ht="14.25">
      <c r="D22" s="403"/>
    </row>
    <row r="23" spans="1:7" ht="14.25">
      <c r="B23" s="389"/>
      <c r="D23" s="403"/>
    </row>
    <row r="24" spans="1:7" ht="14.25">
      <c r="D24" s="403"/>
      <c r="E24" s="389"/>
    </row>
    <row r="25" spans="1:7" ht="14.25">
      <c r="D25" s="403"/>
    </row>
    <row r="26" spans="1:7" ht="14.25">
      <c r="D26" s="403"/>
    </row>
    <row r="27" spans="1:7" ht="14.25">
      <c r="D27" s="403"/>
    </row>
    <row r="28" spans="1:7" ht="14.25">
      <c r="D28" s="403"/>
    </row>
    <row r="29" spans="1:7" ht="14.25">
      <c r="D29" s="403"/>
    </row>
    <row r="30" spans="1:7" ht="14.25">
      <c r="D30" s="403"/>
    </row>
    <row r="31" spans="1:7" ht="14.25">
      <c r="D31" s="403"/>
    </row>
    <row r="32" spans="1:7" ht="14.25">
      <c r="D32" s="403"/>
    </row>
    <row r="33" spans="4:4">
      <c r="D33" s="389"/>
    </row>
  </sheetData>
  <phoneticPr fontId="4"/>
  <printOptions horizontalCentered="1"/>
  <pageMargins left="0.19685039370078741" right="0.15748031496062992" top="0.6692913385826772" bottom="0.59055118110236227" header="0.70866141732283472" footer="0.59055118110236227"/>
  <pageSetup paperSize="9" scale="84" orientation="portrait" cellComments="asDisplayed" verticalDpi="300" r:id="rId1"/>
  <headerFooter alignWithMargins="0"/>
  <colBreaks count="1" manualBreakCount="1">
    <brk id="10" max="1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workbookViewId="0">
      <selection activeCell="C1" sqref="C1"/>
    </sheetView>
  </sheetViews>
  <sheetFormatPr defaultRowHeight="13.5"/>
  <cols>
    <col min="1" max="1" width="47.125" bestFit="1" customWidth="1"/>
    <col min="2" max="2" width="27.25" bestFit="1" customWidth="1"/>
    <col min="3" max="3" width="10.5" bestFit="1" customWidth="1"/>
  </cols>
  <sheetData>
    <row r="1" spans="1:3">
      <c r="C1" s="589" t="s">
        <v>327</v>
      </c>
    </row>
    <row r="2" spans="1:3">
      <c r="A2" s="585" t="s">
        <v>321</v>
      </c>
      <c r="B2" s="585" t="s">
        <v>322</v>
      </c>
      <c r="C2" s="585" t="s">
        <v>323</v>
      </c>
    </row>
    <row r="3" spans="1:3">
      <c r="A3" s="585" t="s">
        <v>274</v>
      </c>
      <c r="B3" s="585" t="s">
        <v>324</v>
      </c>
      <c r="C3" s="586">
        <v>175000</v>
      </c>
    </row>
    <row r="4" spans="1:3">
      <c r="A4" s="585" t="s">
        <v>276</v>
      </c>
      <c r="B4" s="585" t="s">
        <v>324</v>
      </c>
      <c r="C4" s="586">
        <v>12000</v>
      </c>
    </row>
    <row r="5" spans="1:3">
      <c r="A5" s="585" t="s">
        <v>277</v>
      </c>
      <c r="B5" s="585" t="s">
        <v>324</v>
      </c>
      <c r="C5" s="586">
        <v>46000</v>
      </c>
    </row>
    <row r="6" spans="1:3">
      <c r="A6" s="585" t="s">
        <v>278</v>
      </c>
      <c r="B6" s="585" t="s">
        <v>324</v>
      </c>
      <c r="C6" s="586">
        <v>1120000</v>
      </c>
    </row>
    <row r="7" spans="1:3">
      <c r="A7" s="585" t="s">
        <v>279</v>
      </c>
      <c r="B7" s="585" t="s">
        <v>324</v>
      </c>
      <c r="C7" s="586">
        <v>1832000</v>
      </c>
    </row>
    <row r="8" spans="1:3">
      <c r="A8" s="585" t="s">
        <v>280</v>
      </c>
      <c r="B8" s="585" t="s">
        <v>324</v>
      </c>
      <c r="C8" s="586">
        <v>17600</v>
      </c>
    </row>
    <row r="9" spans="1:3">
      <c r="A9" s="585" t="s">
        <v>281</v>
      </c>
      <c r="B9" s="585" t="s">
        <v>324</v>
      </c>
      <c r="C9" s="586">
        <v>13000</v>
      </c>
    </row>
    <row r="10" spans="1:3">
      <c r="A10" s="585" t="s">
        <v>282</v>
      </c>
      <c r="B10" s="585" t="s">
        <v>324</v>
      </c>
      <c r="C10" s="586">
        <v>13000</v>
      </c>
    </row>
    <row r="11" spans="1:3">
      <c r="A11" s="585" t="s">
        <v>283</v>
      </c>
      <c r="B11" s="585" t="s">
        <v>324</v>
      </c>
      <c r="C11" s="586">
        <v>140000</v>
      </c>
    </row>
    <row r="12" spans="1:3">
      <c r="A12" s="585" t="s">
        <v>284</v>
      </c>
      <c r="B12" s="585" t="s">
        <v>324</v>
      </c>
      <c r="C12" s="586">
        <v>1500</v>
      </c>
    </row>
    <row r="13" spans="1:3">
      <c r="A13" s="585" t="s">
        <v>285</v>
      </c>
      <c r="B13" s="585" t="s">
        <v>325</v>
      </c>
      <c r="C13" s="586">
        <v>5770</v>
      </c>
    </row>
    <row r="14" spans="1:3">
      <c r="A14" s="585" t="s">
        <v>287</v>
      </c>
      <c r="B14" s="585" t="s">
        <v>324</v>
      </c>
      <c r="C14" s="586">
        <v>180000</v>
      </c>
    </row>
    <row r="15" spans="1:3">
      <c r="A15" s="585" t="s">
        <v>288</v>
      </c>
      <c r="B15" s="585" t="s">
        <v>324</v>
      </c>
      <c r="C15" s="586">
        <v>150000</v>
      </c>
    </row>
    <row r="16" spans="1:3">
      <c r="A16" s="585" t="s">
        <v>289</v>
      </c>
      <c r="B16" s="585" t="s">
        <v>324</v>
      </c>
      <c r="C16" s="586">
        <v>10800</v>
      </c>
    </row>
    <row r="17" spans="1:3">
      <c r="A17" s="585" t="s">
        <v>290</v>
      </c>
      <c r="B17" s="585" t="s">
        <v>324</v>
      </c>
      <c r="C17" s="586">
        <v>3928000</v>
      </c>
    </row>
    <row r="18" spans="1:3">
      <c r="A18" s="585" t="s">
        <v>291</v>
      </c>
      <c r="B18" s="585" t="s">
        <v>326</v>
      </c>
      <c r="C18" s="586">
        <v>1098000</v>
      </c>
    </row>
    <row r="19" spans="1:3">
      <c r="A19" s="585" t="s">
        <v>293</v>
      </c>
      <c r="B19" s="585" t="s">
        <v>324</v>
      </c>
      <c r="C19" s="586">
        <v>72500</v>
      </c>
    </row>
    <row r="20" spans="1:3">
      <c r="A20" s="585" t="s">
        <v>294</v>
      </c>
      <c r="B20" s="585" t="s">
        <v>324</v>
      </c>
      <c r="C20" s="586">
        <v>74000</v>
      </c>
    </row>
    <row r="21" spans="1:3">
      <c r="A21" s="585" t="s">
        <v>295</v>
      </c>
      <c r="B21" s="585" t="s">
        <v>324</v>
      </c>
      <c r="C21" s="586">
        <v>8000</v>
      </c>
    </row>
  </sheetData>
  <phoneticPr fontId="4"/>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8"/>
  <sheetViews>
    <sheetView workbookViewId="0"/>
  </sheetViews>
  <sheetFormatPr defaultRowHeight="13.5"/>
  <cols>
    <col min="1" max="1" width="31.625" bestFit="1" customWidth="1"/>
    <col min="2" max="2" width="10.5" bestFit="1" customWidth="1"/>
  </cols>
  <sheetData>
    <row r="1" spans="1:2">
      <c r="B1" s="589" t="s">
        <v>327</v>
      </c>
    </row>
    <row r="2" spans="1:2">
      <c r="A2" s="585" t="s">
        <v>950</v>
      </c>
      <c r="B2" s="585" t="s">
        <v>951</v>
      </c>
    </row>
    <row r="3" spans="1:2">
      <c r="A3" s="585" t="s">
        <v>235</v>
      </c>
      <c r="B3" s="586">
        <v>130700</v>
      </c>
    </row>
    <row r="4" spans="1:2">
      <c r="A4" s="585" t="s">
        <v>199</v>
      </c>
      <c r="B4" s="586">
        <v>552000</v>
      </c>
    </row>
    <row r="5" spans="1:2">
      <c r="A5" s="585" t="s">
        <v>226</v>
      </c>
      <c r="B5" s="586">
        <v>50100</v>
      </c>
    </row>
    <row r="6" spans="1:2">
      <c r="A6" s="585" t="s">
        <v>227</v>
      </c>
      <c r="B6" s="586">
        <v>10500</v>
      </c>
    </row>
    <row r="7" spans="1:2">
      <c r="A7" s="585" t="s">
        <v>296</v>
      </c>
      <c r="B7" s="586">
        <v>4500</v>
      </c>
    </row>
    <row r="8" spans="1:2">
      <c r="A8" s="585" t="s">
        <v>228</v>
      </c>
      <c r="B8" s="586">
        <v>150000</v>
      </c>
    </row>
    <row r="9" spans="1:2">
      <c r="A9" s="585" t="s">
        <v>253</v>
      </c>
      <c r="B9" s="586">
        <v>615000</v>
      </c>
    </row>
    <row r="10" spans="1:2">
      <c r="A10" s="585" t="s">
        <v>254</v>
      </c>
      <c r="B10" s="586">
        <v>102000</v>
      </c>
    </row>
    <row r="11" spans="1:2">
      <c r="A11" s="585" t="s">
        <v>261</v>
      </c>
      <c r="B11" s="586">
        <v>44100</v>
      </c>
    </row>
    <row r="12" spans="1:2">
      <c r="A12" s="585" t="s">
        <v>229</v>
      </c>
      <c r="B12" s="586">
        <v>5900</v>
      </c>
    </row>
    <row r="13" spans="1:2">
      <c r="A13" s="585" t="s">
        <v>255</v>
      </c>
      <c r="B13" s="586">
        <v>7200</v>
      </c>
    </row>
    <row r="14" spans="1:2">
      <c r="A14" s="585" t="s">
        <v>230</v>
      </c>
      <c r="B14" s="586">
        <v>80800</v>
      </c>
    </row>
    <row r="15" spans="1:2">
      <c r="A15" s="585" t="s">
        <v>256</v>
      </c>
      <c r="B15" s="586">
        <v>5200</v>
      </c>
    </row>
    <row r="16" spans="1:2">
      <c r="A16" s="585" t="s">
        <v>170</v>
      </c>
      <c r="B16" s="586">
        <v>407300</v>
      </c>
    </row>
    <row r="17" spans="1:2">
      <c r="A17" s="585" t="s">
        <v>237</v>
      </c>
      <c r="B17" s="586">
        <v>940500</v>
      </c>
    </row>
    <row r="18" spans="1:2">
      <c r="A18" s="585" t="s">
        <v>238</v>
      </c>
      <c r="B18" s="586">
        <v>245500</v>
      </c>
    </row>
    <row r="19" spans="1:2">
      <c r="A19" s="585" t="s">
        <v>257</v>
      </c>
      <c r="B19" s="586">
        <v>18000</v>
      </c>
    </row>
    <row r="20" spans="1:2">
      <c r="A20" s="585" t="s">
        <v>239</v>
      </c>
      <c r="B20" s="586">
        <v>371800</v>
      </c>
    </row>
    <row r="21" spans="1:2">
      <c r="A21" s="585" t="s">
        <v>258</v>
      </c>
      <c r="B21" s="586">
        <v>7600</v>
      </c>
    </row>
    <row r="22" spans="1:2">
      <c r="A22" s="585" t="s">
        <v>174</v>
      </c>
      <c r="B22" s="586">
        <v>125700</v>
      </c>
    </row>
    <row r="23" spans="1:2">
      <c r="A23" s="585" t="s">
        <v>171</v>
      </c>
      <c r="B23" s="586">
        <v>631400</v>
      </c>
    </row>
    <row r="24" spans="1:2">
      <c r="A24" s="585" t="s">
        <v>231</v>
      </c>
      <c r="B24" s="586">
        <v>3232900</v>
      </c>
    </row>
    <row r="25" spans="1:2">
      <c r="A25" s="585" t="s">
        <v>236</v>
      </c>
      <c r="B25" s="586">
        <v>17900</v>
      </c>
    </row>
    <row r="26" spans="1:2">
      <c r="A26" s="585" t="s">
        <v>232</v>
      </c>
      <c r="B26" s="586">
        <v>64800</v>
      </c>
    </row>
    <row r="27" spans="1:2">
      <c r="A27" s="585" t="s">
        <v>233</v>
      </c>
      <c r="B27" s="586">
        <v>89000</v>
      </c>
    </row>
    <row r="28" spans="1:2">
      <c r="A28" s="585" t="s">
        <v>259</v>
      </c>
      <c r="B28" s="586">
        <v>1300000</v>
      </c>
    </row>
  </sheetData>
  <phoneticPr fontId="4"/>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pageSetUpPr fitToPage="1"/>
  </sheetPr>
  <dimension ref="A1:D156"/>
  <sheetViews>
    <sheetView showOutlineSymbols="0" zoomScaleNormal="100" zoomScaleSheetLayoutView="85" zoomScalePageLayoutView="120" workbookViewId="0">
      <selection sqref="A1:D1"/>
    </sheetView>
  </sheetViews>
  <sheetFormatPr defaultColWidth="9" defaultRowHeight="18" customHeight="1" outlineLevelRow="1"/>
  <cols>
    <col min="1" max="1" width="22.625" style="592" customWidth="1"/>
    <col min="2" max="2" width="12.875" style="591" customWidth="1"/>
    <col min="3" max="3" width="46.75" style="590" customWidth="1"/>
    <col min="4" max="4" width="12.875" style="591" customWidth="1"/>
    <col min="5" max="16384" width="9" style="614"/>
  </cols>
  <sheetData>
    <row r="1" spans="1:4" ht="24" customHeight="1">
      <c r="A1" s="852" t="s">
        <v>480</v>
      </c>
      <c r="B1" s="852"/>
      <c r="C1" s="852"/>
      <c r="D1" s="852"/>
    </row>
    <row r="2" spans="1:4" ht="18.75">
      <c r="A2" s="617" t="s">
        <v>479</v>
      </c>
    </row>
    <row r="3" spans="1:4" ht="15" customHeight="1">
      <c r="A3" s="616"/>
      <c r="B3" s="615"/>
      <c r="C3" s="614"/>
      <c r="D3" s="613" t="s">
        <v>478</v>
      </c>
    </row>
    <row r="4" spans="1:4" s="875" customFormat="1" ht="18" customHeight="1">
      <c r="A4" s="612" t="s">
        <v>14</v>
      </c>
      <c r="B4" s="611" t="s">
        <v>477</v>
      </c>
      <c r="C4" s="612" t="str">
        <f>"細          節          名"</f>
        <v>細          節          名</v>
      </c>
      <c r="D4" s="611" t="s">
        <v>477</v>
      </c>
    </row>
    <row r="5" spans="1:4" ht="18" customHeight="1">
      <c r="A5" s="606" t="s">
        <v>476</v>
      </c>
      <c r="B5" s="605">
        <v>47149000</v>
      </c>
      <c r="C5" s="600" t="s">
        <v>475</v>
      </c>
      <c r="D5" s="596">
        <v>22658000</v>
      </c>
    </row>
    <row r="6" spans="1:4" ht="18" customHeight="1">
      <c r="A6" s="599"/>
      <c r="B6" s="609"/>
      <c r="C6" s="600" t="s">
        <v>474</v>
      </c>
      <c r="D6" s="596">
        <v>18617000</v>
      </c>
    </row>
    <row r="7" spans="1:4" ht="18" customHeight="1">
      <c r="A7" s="599"/>
      <c r="B7" s="609"/>
      <c r="C7" s="600" t="s">
        <v>473</v>
      </c>
      <c r="D7" s="596">
        <v>479000</v>
      </c>
    </row>
    <row r="8" spans="1:4" ht="18" customHeight="1">
      <c r="A8" s="599"/>
      <c r="B8" s="609"/>
      <c r="C8" s="600" t="s">
        <v>472</v>
      </c>
      <c r="D8" s="596">
        <v>2300000</v>
      </c>
    </row>
    <row r="9" spans="1:4" ht="18" customHeight="1">
      <c r="A9" s="599"/>
      <c r="B9" s="609"/>
      <c r="C9" s="600" t="s">
        <v>471</v>
      </c>
      <c r="D9" s="596">
        <v>714000</v>
      </c>
    </row>
    <row r="10" spans="1:4" ht="18" customHeight="1">
      <c r="A10" s="599"/>
      <c r="B10" s="609"/>
      <c r="C10" s="600" t="s">
        <v>470</v>
      </c>
      <c r="D10" s="596">
        <v>2381000</v>
      </c>
    </row>
    <row r="11" spans="1:4" ht="18" customHeight="1">
      <c r="A11" s="606" t="s">
        <v>469</v>
      </c>
      <c r="B11" s="605">
        <v>717000</v>
      </c>
      <c r="C11" s="600" t="s">
        <v>468</v>
      </c>
      <c r="D11" s="596">
        <v>180000</v>
      </c>
    </row>
    <row r="12" spans="1:4" ht="18" customHeight="1">
      <c r="A12" s="599"/>
      <c r="B12" s="598"/>
      <c r="C12" s="600" t="s">
        <v>467</v>
      </c>
      <c r="D12" s="596">
        <v>500000</v>
      </c>
    </row>
    <row r="13" spans="1:4" ht="18" customHeight="1">
      <c r="A13" s="604"/>
      <c r="B13" s="603"/>
      <c r="C13" s="600" t="s">
        <v>466</v>
      </c>
      <c r="D13" s="596">
        <v>37000</v>
      </c>
    </row>
    <row r="14" spans="1:4" ht="18" customHeight="1">
      <c r="A14" s="599" t="s">
        <v>465</v>
      </c>
      <c r="B14" s="598">
        <v>20000</v>
      </c>
      <c r="C14" s="600" t="s">
        <v>464</v>
      </c>
      <c r="D14" s="596">
        <v>20000</v>
      </c>
    </row>
    <row r="15" spans="1:4" ht="18" customHeight="1">
      <c r="A15" s="600" t="s">
        <v>463</v>
      </c>
      <c r="B15" s="596">
        <v>250000</v>
      </c>
      <c r="C15" s="600" t="s">
        <v>462</v>
      </c>
      <c r="D15" s="596">
        <v>250000</v>
      </c>
    </row>
    <row r="16" spans="1:4" ht="18" customHeight="1">
      <c r="A16" s="600" t="s">
        <v>461</v>
      </c>
      <c r="B16" s="596">
        <v>200000</v>
      </c>
      <c r="C16" s="600" t="s">
        <v>460</v>
      </c>
      <c r="D16" s="596">
        <v>200000</v>
      </c>
    </row>
    <row r="17" spans="1:4" ht="18" customHeight="1">
      <c r="A17" s="600" t="str">
        <f>" 6 法人事業税交付金"</f>
        <v xml:space="preserve"> 6 法人事業税交付金</v>
      </c>
      <c r="B17" s="596">
        <v>500000</v>
      </c>
      <c r="C17" s="600" t="s">
        <v>459</v>
      </c>
      <c r="D17" s="596">
        <v>500000</v>
      </c>
    </row>
    <row r="18" spans="1:4" ht="18" customHeight="1">
      <c r="A18" s="600" t="str">
        <f>" 7 地方消費税交付金"</f>
        <v xml:space="preserve"> 7 地方消費税交付金</v>
      </c>
      <c r="B18" s="596">
        <v>7700000</v>
      </c>
      <c r="C18" s="600" t="s">
        <v>458</v>
      </c>
      <c r="D18" s="596">
        <v>7700000</v>
      </c>
    </row>
    <row r="19" spans="1:4" ht="18" customHeight="1">
      <c r="A19" s="600" t="str">
        <f>" 8 環境性能割交付金"</f>
        <v xml:space="preserve"> 8 環境性能割交付金</v>
      </c>
      <c r="B19" s="596">
        <v>170000</v>
      </c>
      <c r="C19" s="600" t="s">
        <v>189</v>
      </c>
      <c r="D19" s="596">
        <v>170000</v>
      </c>
    </row>
    <row r="20" spans="1:4" ht="18" customHeight="1">
      <c r="A20" s="600" t="str">
        <f>" 9 地方特例交付金"</f>
        <v xml:space="preserve"> 9 地方特例交付金</v>
      </c>
      <c r="B20" s="596">
        <f>440000+1550000</f>
        <v>1990000</v>
      </c>
      <c r="C20" s="600" t="s">
        <v>457</v>
      </c>
      <c r="D20" s="596">
        <v>1990000</v>
      </c>
    </row>
    <row r="21" spans="1:4" ht="18" customHeight="1">
      <c r="A21" s="599" t="str">
        <f>"10 地方交付税"</f>
        <v>10 地方交付税</v>
      </c>
      <c r="B21" s="598">
        <v>5900000</v>
      </c>
      <c r="C21" s="600" t="s">
        <v>456</v>
      </c>
      <c r="D21" s="596">
        <v>5600000</v>
      </c>
    </row>
    <row r="22" spans="1:4" ht="18" customHeight="1">
      <c r="A22" s="599"/>
      <c r="B22" s="598"/>
      <c r="C22" s="600" t="s">
        <v>455</v>
      </c>
      <c r="D22" s="596">
        <v>300000</v>
      </c>
    </row>
    <row r="23" spans="1:4" ht="18" customHeight="1">
      <c r="A23" s="600" t="s">
        <v>454</v>
      </c>
      <c r="B23" s="596">
        <v>42000</v>
      </c>
      <c r="C23" s="600" t="s">
        <v>453</v>
      </c>
      <c r="D23" s="596">
        <v>42000</v>
      </c>
    </row>
    <row r="24" spans="1:4" ht="18" customHeight="1">
      <c r="A24" s="599" t="str">
        <f>"12 分担金及び負担金"</f>
        <v>12 分担金及び負担金</v>
      </c>
      <c r="B24" s="598">
        <v>532880</v>
      </c>
      <c r="C24" s="600" t="s">
        <v>452</v>
      </c>
      <c r="D24" s="596">
        <v>285000</v>
      </c>
    </row>
    <row r="25" spans="1:4" ht="18" customHeight="1">
      <c r="A25" s="599"/>
      <c r="B25" s="598"/>
      <c r="C25" s="600" t="s">
        <v>451</v>
      </c>
      <c r="D25" s="596">
        <v>23500</v>
      </c>
    </row>
    <row r="26" spans="1:4" ht="18" customHeight="1">
      <c r="A26" s="599"/>
      <c r="B26" s="598"/>
      <c r="C26" s="600" t="s">
        <v>450</v>
      </c>
      <c r="D26" s="596">
        <v>90000</v>
      </c>
    </row>
    <row r="27" spans="1:4" ht="18" customHeight="1">
      <c r="A27" s="599"/>
      <c r="B27" s="599"/>
      <c r="C27" s="600" t="s">
        <v>449</v>
      </c>
      <c r="D27" s="596">
        <v>42400</v>
      </c>
    </row>
    <row r="28" spans="1:4" ht="18" customHeight="1">
      <c r="A28" s="606" t="str">
        <f>"13 使用料及び手数料"</f>
        <v>13 使用料及び手数料</v>
      </c>
      <c r="B28" s="605">
        <v>1531925</v>
      </c>
      <c r="C28" s="600" t="s">
        <v>448</v>
      </c>
      <c r="D28" s="596">
        <v>14995</v>
      </c>
    </row>
    <row r="29" spans="1:4" ht="18" customHeight="1">
      <c r="A29" s="599"/>
      <c r="B29" s="598"/>
      <c r="C29" s="600" t="s">
        <v>447</v>
      </c>
      <c r="D29" s="596">
        <v>27000</v>
      </c>
    </row>
    <row r="30" spans="1:4" ht="18" customHeight="1">
      <c r="A30" s="599"/>
      <c r="B30" s="598"/>
      <c r="C30" s="600" t="s">
        <v>446</v>
      </c>
      <c r="D30" s="596">
        <v>35000</v>
      </c>
    </row>
    <row r="31" spans="1:4" ht="18" customHeight="1">
      <c r="A31" s="610"/>
      <c r="B31" s="609"/>
      <c r="C31" s="600" t="s">
        <v>445</v>
      </c>
      <c r="D31" s="596">
        <v>185000</v>
      </c>
    </row>
    <row r="32" spans="1:4" ht="18" customHeight="1">
      <c r="A32" s="610"/>
      <c r="B32" s="609"/>
      <c r="C32" s="600" t="s">
        <v>444</v>
      </c>
      <c r="D32" s="596">
        <v>274000</v>
      </c>
    </row>
    <row r="33" spans="1:4" ht="18" customHeight="1">
      <c r="A33" s="599"/>
      <c r="B33" s="598"/>
      <c r="C33" s="600" t="s">
        <v>443</v>
      </c>
      <c r="D33" s="596">
        <v>247000</v>
      </c>
    </row>
    <row r="34" spans="1:4" ht="18" customHeight="1">
      <c r="A34" s="599"/>
      <c r="B34" s="598"/>
      <c r="C34" s="600" t="s">
        <v>442</v>
      </c>
      <c r="D34" s="596">
        <v>190000</v>
      </c>
    </row>
    <row r="35" spans="1:4" ht="18" customHeight="1">
      <c r="A35" s="599"/>
      <c r="B35" s="598"/>
      <c r="C35" s="600" t="s">
        <v>441</v>
      </c>
      <c r="D35" s="596">
        <v>48000</v>
      </c>
    </row>
    <row r="36" spans="1:4" ht="18" customHeight="1">
      <c r="A36" s="599"/>
      <c r="B36" s="598"/>
      <c r="C36" s="600" t="s">
        <v>440</v>
      </c>
      <c r="D36" s="596">
        <v>107000</v>
      </c>
    </row>
    <row r="37" spans="1:4" ht="18" customHeight="1">
      <c r="A37" s="599"/>
      <c r="B37" s="598"/>
      <c r="C37" s="600" t="s">
        <v>439</v>
      </c>
      <c r="D37" s="596">
        <v>37000</v>
      </c>
    </row>
    <row r="38" spans="1:4" ht="18" customHeight="1">
      <c r="A38" s="599"/>
      <c r="B38" s="598"/>
      <c r="C38" s="600" t="s">
        <v>438</v>
      </c>
      <c r="D38" s="596">
        <v>31000</v>
      </c>
    </row>
    <row r="39" spans="1:4" ht="18" customHeight="1">
      <c r="A39" s="599"/>
      <c r="B39" s="598"/>
      <c r="C39" s="600" t="s">
        <v>437</v>
      </c>
      <c r="D39" s="596">
        <v>41000</v>
      </c>
    </row>
    <row r="40" spans="1:4" ht="18" customHeight="1">
      <c r="A40" s="599"/>
      <c r="B40" s="598"/>
      <c r="C40" s="600" t="s">
        <v>436</v>
      </c>
      <c r="D40" s="596">
        <v>34000</v>
      </c>
    </row>
    <row r="41" spans="1:4" ht="18" customHeight="1">
      <c r="A41" s="599"/>
      <c r="B41" s="598"/>
      <c r="C41" s="600" t="s">
        <v>435</v>
      </c>
      <c r="D41" s="596">
        <v>28000</v>
      </c>
    </row>
    <row r="42" spans="1:4" ht="18" customHeight="1">
      <c r="A42" s="599"/>
      <c r="B42" s="598"/>
      <c r="C42" s="600" t="s">
        <v>434</v>
      </c>
      <c r="D42" s="596">
        <v>18000</v>
      </c>
    </row>
    <row r="43" spans="1:4" ht="18" customHeight="1">
      <c r="A43" s="599"/>
      <c r="B43" s="598"/>
      <c r="C43" s="600" t="s">
        <v>433</v>
      </c>
      <c r="D43" s="596">
        <v>62000</v>
      </c>
    </row>
    <row r="44" spans="1:4" ht="18" customHeight="1">
      <c r="A44" s="599"/>
      <c r="B44" s="598"/>
      <c r="C44" s="600" t="s">
        <v>432</v>
      </c>
      <c r="D44" s="596">
        <v>43000</v>
      </c>
    </row>
    <row r="45" spans="1:4" ht="18" customHeight="1">
      <c r="A45" s="604"/>
      <c r="B45" s="603"/>
      <c r="C45" s="600" t="s">
        <v>431</v>
      </c>
      <c r="D45" s="596">
        <v>11500</v>
      </c>
    </row>
    <row r="46" spans="1:4" ht="18" customHeight="1">
      <c r="A46" s="606" t="str">
        <f>"14 国庫支出金"</f>
        <v>14 国庫支出金</v>
      </c>
      <c r="B46" s="605">
        <v>20868640</v>
      </c>
      <c r="C46" s="600" t="s">
        <v>402</v>
      </c>
      <c r="D46" s="596">
        <v>230000</v>
      </c>
    </row>
    <row r="47" spans="1:4" s="876" customFormat="1" ht="18" customHeight="1">
      <c r="A47" s="604"/>
      <c r="B47" s="603"/>
      <c r="C47" s="600" t="s">
        <v>404</v>
      </c>
      <c r="D47" s="596">
        <v>1581800</v>
      </c>
    </row>
    <row r="48" spans="1:4" ht="18" customHeight="1">
      <c r="A48" s="599"/>
      <c r="B48" s="598"/>
      <c r="C48" s="600" t="s">
        <v>403</v>
      </c>
      <c r="D48" s="596">
        <v>472000</v>
      </c>
    </row>
    <row r="49" spans="1:4" ht="18" customHeight="1">
      <c r="A49" s="599"/>
      <c r="B49" s="598"/>
      <c r="C49" s="600" t="s">
        <v>430</v>
      </c>
      <c r="D49" s="596">
        <v>242000</v>
      </c>
    </row>
    <row r="50" spans="1:4" ht="18" customHeight="1">
      <c r="A50" s="599"/>
      <c r="B50" s="598"/>
      <c r="C50" s="600" t="s">
        <v>399</v>
      </c>
      <c r="D50" s="596">
        <v>142000</v>
      </c>
    </row>
    <row r="51" spans="1:4" ht="18" customHeight="1">
      <c r="A51" s="599"/>
      <c r="B51" s="598"/>
      <c r="C51" s="600" t="s">
        <v>429</v>
      </c>
      <c r="D51" s="596">
        <v>326000</v>
      </c>
    </row>
    <row r="52" spans="1:4" ht="18" customHeight="1">
      <c r="A52" s="599"/>
      <c r="B52" s="598"/>
      <c r="C52" s="600" t="s">
        <v>428</v>
      </c>
      <c r="D52" s="596">
        <v>911000</v>
      </c>
    </row>
    <row r="53" spans="1:4" ht="18" customHeight="1">
      <c r="A53" s="599"/>
      <c r="B53" s="598"/>
      <c r="C53" s="600" t="s">
        <v>427</v>
      </c>
      <c r="D53" s="596">
        <v>1870000</v>
      </c>
    </row>
    <row r="54" spans="1:4" ht="18" customHeight="1">
      <c r="A54" s="599"/>
      <c r="B54" s="598"/>
      <c r="C54" s="600" t="s">
        <v>426</v>
      </c>
      <c r="D54" s="596">
        <v>1226000</v>
      </c>
    </row>
    <row r="55" spans="1:4" ht="18" customHeight="1">
      <c r="A55" s="599"/>
      <c r="B55" s="598"/>
      <c r="C55" s="600" t="s">
        <v>425</v>
      </c>
      <c r="D55" s="596">
        <v>650000</v>
      </c>
    </row>
    <row r="56" spans="1:4" ht="18" customHeight="1">
      <c r="A56" s="599"/>
      <c r="B56" s="598"/>
      <c r="C56" s="600" t="s">
        <v>394</v>
      </c>
      <c r="D56" s="596">
        <v>3800000</v>
      </c>
    </row>
    <row r="57" spans="1:4" ht="18" customHeight="1">
      <c r="A57" s="599"/>
      <c r="B57" s="598"/>
      <c r="C57" s="600" t="s">
        <v>424</v>
      </c>
      <c r="D57" s="596">
        <v>3055250</v>
      </c>
    </row>
    <row r="58" spans="1:4" ht="18" customHeight="1">
      <c r="A58" s="599"/>
      <c r="B58" s="598"/>
      <c r="C58" s="600" t="s">
        <v>423</v>
      </c>
      <c r="D58" s="596">
        <v>2409000</v>
      </c>
    </row>
    <row r="59" spans="1:4" ht="18" customHeight="1">
      <c r="A59" s="599"/>
      <c r="B59" s="598"/>
      <c r="C59" s="600" t="s">
        <v>422</v>
      </c>
      <c r="D59" s="596">
        <v>180600</v>
      </c>
    </row>
    <row r="60" spans="1:4" ht="18" customHeight="1">
      <c r="A60" s="599"/>
      <c r="B60" s="598"/>
      <c r="C60" s="600" t="s">
        <v>393</v>
      </c>
      <c r="D60" s="596">
        <v>10500</v>
      </c>
    </row>
    <row r="61" spans="1:4" ht="18" customHeight="1">
      <c r="A61" s="599"/>
      <c r="B61" s="598"/>
      <c r="C61" s="600" t="s">
        <v>421</v>
      </c>
      <c r="D61" s="596">
        <v>40000</v>
      </c>
    </row>
    <row r="62" spans="1:4" ht="18" customHeight="1">
      <c r="A62" s="599"/>
      <c r="B62" s="598"/>
      <c r="C62" s="600" t="s">
        <v>420</v>
      </c>
      <c r="D62" s="596">
        <v>34600</v>
      </c>
    </row>
    <row r="63" spans="1:4" ht="18" customHeight="1">
      <c r="A63" s="599"/>
      <c r="B63" s="598"/>
      <c r="C63" s="600" t="s">
        <v>419</v>
      </c>
      <c r="D63" s="596">
        <v>420000</v>
      </c>
    </row>
    <row r="64" spans="1:4" ht="18" customHeight="1">
      <c r="A64" s="599"/>
      <c r="B64" s="598"/>
      <c r="C64" s="600" t="s">
        <v>418</v>
      </c>
      <c r="D64" s="596">
        <v>383400</v>
      </c>
    </row>
    <row r="65" spans="1:4" ht="18" customHeight="1">
      <c r="A65" s="599"/>
      <c r="B65" s="598"/>
      <c r="C65" s="600" t="s">
        <v>417</v>
      </c>
      <c r="D65" s="596">
        <v>11000</v>
      </c>
    </row>
    <row r="66" spans="1:4" ht="18" customHeight="1">
      <c r="A66" s="599"/>
      <c r="B66" s="598"/>
      <c r="C66" s="600" t="s">
        <v>416</v>
      </c>
      <c r="D66" s="596">
        <v>72000</v>
      </c>
    </row>
    <row r="67" spans="1:4" ht="18" customHeight="1">
      <c r="A67" s="599"/>
      <c r="B67" s="598"/>
      <c r="C67" s="600" t="s">
        <v>389</v>
      </c>
      <c r="D67" s="596">
        <v>270500</v>
      </c>
    </row>
    <row r="68" spans="1:4" ht="18" customHeight="1">
      <c r="A68" s="599"/>
      <c r="B68" s="598"/>
      <c r="C68" s="600" t="s">
        <v>415</v>
      </c>
      <c r="D68" s="596">
        <v>144600</v>
      </c>
    </row>
    <row r="69" spans="1:4" ht="18" customHeight="1">
      <c r="A69" s="599"/>
      <c r="B69" s="598"/>
      <c r="C69" s="600" t="s">
        <v>414</v>
      </c>
      <c r="D69" s="596">
        <v>260000</v>
      </c>
    </row>
    <row r="70" spans="1:4" ht="18" customHeight="1">
      <c r="A70" s="599"/>
      <c r="B70" s="598"/>
      <c r="C70" s="600" t="s">
        <v>413</v>
      </c>
      <c r="D70" s="596">
        <v>41200</v>
      </c>
    </row>
    <row r="71" spans="1:4" ht="18" customHeight="1">
      <c r="A71" s="599"/>
      <c r="B71" s="598"/>
      <c r="C71" s="600" t="s">
        <v>385</v>
      </c>
      <c r="D71" s="596">
        <v>205000</v>
      </c>
    </row>
    <row r="72" spans="1:4" ht="18" customHeight="1">
      <c r="A72" s="599"/>
      <c r="B72" s="598"/>
      <c r="C72" s="600" t="s">
        <v>412</v>
      </c>
      <c r="D72" s="596">
        <v>15500</v>
      </c>
    </row>
    <row r="73" spans="1:4" ht="18" customHeight="1">
      <c r="A73" s="599"/>
      <c r="B73" s="598"/>
      <c r="C73" s="600" t="s">
        <v>411</v>
      </c>
      <c r="D73" s="596">
        <v>439000</v>
      </c>
    </row>
    <row r="74" spans="1:4" ht="18" customHeight="1">
      <c r="A74" s="599"/>
      <c r="B74" s="598"/>
      <c r="C74" s="600" t="s">
        <v>410</v>
      </c>
      <c r="D74" s="596">
        <v>121000</v>
      </c>
    </row>
    <row r="75" spans="1:4" ht="18" customHeight="1">
      <c r="A75" s="599"/>
      <c r="B75" s="598"/>
      <c r="C75" s="600" t="s">
        <v>409</v>
      </c>
      <c r="D75" s="596">
        <v>86200</v>
      </c>
    </row>
    <row r="76" spans="1:4" ht="18" customHeight="1">
      <c r="A76" s="599"/>
      <c r="B76" s="598"/>
      <c r="C76" s="600" t="s">
        <v>408</v>
      </c>
      <c r="D76" s="596">
        <v>100800</v>
      </c>
    </row>
    <row r="77" spans="1:4" ht="18" customHeight="1">
      <c r="A77" s="599"/>
      <c r="B77" s="598"/>
      <c r="C77" s="600" t="s">
        <v>407</v>
      </c>
      <c r="D77" s="596">
        <v>157700</v>
      </c>
    </row>
    <row r="78" spans="1:4" ht="18" customHeight="1">
      <c r="A78" s="599"/>
      <c r="B78" s="598"/>
      <c r="C78" s="600" t="s">
        <v>406</v>
      </c>
      <c r="D78" s="596">
        <v>43000</v>
      </c>
    </row>
    <row r="79" spans="1:4" ht="18" customHeight="1">
      <c r="A79" s="599"/>
      <c r="B79" s="598"/>
      <c r="C79" s="600" t="s">
        <v>405</v>
      </c>
      <c r="D79" s="596">
        <v>64000</v>
      </c>
    </row>
    <row r="80" spans="1:4" ht="18" customHeight="1">
      <c r="A80" s="606" t="str">
        <f>"15 県支出金"</f>
        <v>15 県支出金</v>
      </c>
      <c r="B80" s="605">
        <v>7607370</v>
      </c>
      <c r="C80" s="600" t="s">
        <v>404</v>
      </c>
      <c r="D80" s="596">
        <v>790900</v>
      </c>
    </row>
    <row r="81" spans="1:4" ht="18" customHeight="1">
      <c r="A81" s="599"/>
      <c r="B81" s="598"/>
      <c r="C81" s="600" t="s">
        <v>403</v>
      </c>
      <c r="D81" s="596">
        <v>236000</v>
      </c>
    </row>
    <row r="82" spans="1:4" ht="18" customHeight="1">
      <c r="A82" s="599"/>
      <c r="B82" s="598"/>
      <c r="C82" s="600" t="s">
        <v>402</v>
      </c>
      <c r="D82" s="596">
        <v>115000</v>
      </c>
    </row>
    <row r="83" spans="1:4" ht="18" customHeight="1">
      <c r="A83" s="599"/>
      <c r="B83" s="598"/>
      <c r="C83" s="600" t="s">
        <v>401</v>
      </c>
      <c r="D83" s="596">
        <v>604700</v>
      </c>
    </row>
    <row r="84" spans="1:4" ht="18" customHeight="1">
      <c r="A84" s="599"/>
      <c r="B84" s="598"/>
      <c r="C84" s="600" t="s">
        <v>400</v>
      </c>
      <c r="D84" s="596">
        <v>668000</v>
      </c>
    </row>
    <row r="85" spans="1:4" ht="18" customHeight="1">
      <c r="A85" s="599"/>
      <c r="B85" s="598"/>
      <c r="C85" s="600" t="s">
        <v>399</v>
      </c>
      <c r="D85" s="596">
        <v>71000</v>
      </c>
    </row>
    <row r="86" spans="1:4" ht="18" customHeight="1">
      <c r="A86" s="599"/>
      <c r="B86" s="598"/>
      <c r="C86" s="600" t="s">
        <v>398</v>
      </c>
      <c r="D86" s="596">
        <v>455500</v>
      </c>
    </row>
    <row r="87" spans="1:4" ht="18" customHeight="1">
      <c r="A87" s="599"/>
      <c r="B87" s="598"/>
      <c r="C87" s="600" t="s">
        <v>397</v>
      </c>
      <c r="D87" s="596">
        <v>872000</v>
      </c>
    </row>
    <row r="88" spans="1:4" ht="18" customHeight="1">
      <c r="A88" s="599"/>
      <c r="B88" s="598"/>
      <c r="C88" s="600" t="s">
        <v>396</v>
      </c>
      <c r="D88" s="596">
        <v>439000</v>
      </c>
    </row>
    <row r="89" spans="1:4" ht="18" customHeight="1">
      <c r="A89" s="599"/>
      <c r="B89" s="598"/>
      <c r="C89" s="600" t="s">
        <v>395</v>
      </c>
      <c r="D89" s="596">
        <v>325000</v>
      </c>
    </row>
    <row r="90" spans="1:4" ht="18" customHeight="1">
      <c r="A90" s="599"/>
      <c r="B90" s="598"/>
      <c r="C90" s="600" t="s">
        <v>394</v>
      </c>
      <c r="D90" s="596">
        <v>800000</v>
      </c>
    </row>
    <row r="91" spans="1:4" ht="18" customHeight="1">
      <c r="A91" s="599"/>
      <c r="B91" s="598"/>
      <c r="C91" s="600" t="s">
        <v>393</v>
      </c>
      <c r="D91" s="596">
        <v>5200</v>
      </c>
    </row>
    <row r="92" spans="1:4" ht="18" customHeight="1">
      <c r="A92" s="604"/>
      <c r="B92" s="603"/>
      <c r="C92" s="600" t="s">
        <v>392</v>
      </c>
      <c r="D92" s="596">
        <v>360</v>
      </c>
    </row>
    <row r="93" spans="1:4" ht="18" customHeight="1">
      <c r="A93" s="599"/>
      <c r="B93" s="598"/>
      <c r="C93" s="600" t="s">
        <v>391</v>
      </c>
      <c r="D93" s="596">
        <v>280000</v>
      </c>
    </row>
    <row r="94" spans="1:4" ht="18" customHeight="1">
      <c r="A94" s="599"/>
      <c r="B94" s="598"/>
      <c r="C94" s="600" t="s">
        <v>390</v>
      </c>
      <c r="D94" s="596">
        <v>68300</v>
      </c>
    </row>
    <row r="95" spans="1:4" ht="18" customHeight="1">
      <c r="A95" s="599"/>
      <c r="B95" s="598"/>
      <c r="C95" s="600" t="s">
        <v>389</v>
      </c>
      <c r="D95" s="596">
        <v>152450</v>
      </c>
    </row>
    <row r="96" spans="1:4" ht="18" customHeight="1">
      <c r="A96" s="599"/>
      <c r="B96" s="598"/>
      <c r="C96" s="600" t="s">
        <v>388</v>
      </c>
      <c r="D96" s="596">
        <v>163000</v>
      </c>
    </row>
    <row r="97" spans="1:4" ht="18" customHeight="1">
      <c r="A97" s="599"/>
      <c r="B97" s="598"/>
      <c r="C97" s="600" t="s">
        <v>387</v>
      </c>
      <c r="D97" s="596">
        <v>240000</v>
      </c>
    </row>
    <row r="98" spans="1:4" ht="18" customHeight="1">
      <c r="A98" s="599"/>
      <c r="B98" s="598"/>
      <c r="C98" s="600" t="s">
        <v>386</v>
      </c>
      <c r="D98" s="596">
        <v>63000</v>
      </c>
    </row>
    <row r="99" spans="1:4" ht="18" customHeight="1">
      <c r="A99" s="599"/>
      <c r="B99" s="598"/>
      <c r="C99" s="600" t="s">
        <v>385</v>
      </c>
      <c r="D99" s="596">
        <v>52500</v>
      </c>
    </row>
    <row r="100" spans="1:4" ht="18" customHeight="1">
      <c r="A100" s="599"/>
      <c r="B100" s="598"/>
      <c r="C100" s="600" t="s">
        <v>384</v>
      </c>
      <c r="D100" s="596">
        <v>8000</v>
      </c>
    </row>
    <row r="101" spans="1:4" ht="18" customHeight="1">
      <c r="A101" s="599"/>
      <c r="B101" s="598"/>
      <c r="C101" s="600" t="s">
        <v>383</v>
      </c>
      <c r="D101" s="596">
        <v>3300</v>
      </c>
    </row>
    <row r="102" spans="1:4" ht="18" customHeight="1">
      <c r="A102" s="599"/>
      <c r="B102" s="598"/>
      <c r="C102" s="600" t="s">
        <v>382</v>
      </c>
      <c r="D102" s="596">
        <v>55900</v>
      </c>
    </row>
    <row r="103" spans="1:4" ht="18" customHeight="1">
      <c r="A103" s="599"/>
      <c r="B103" s="598"/>
      <c r="C103" s="600" t="s">
        <v>381</v>
      </c>
      <c r="D103" s="596">
        <v>6100</v>
      </c>
    </row>
    <row r="104" spans="1:4" ht="18" customHeight="1">
      <c r="A104" s="599"/>
      <c r="B104" s="598"/>
      <c r="C104" s="600" t="s">
        <v>380</v>
      </c>
      <c r="D104" s="596">
        <v>560000</v>
      </c>
    </row>
    <row r="105" spans="1:4" ht="18" customHeight="1">
      <c r="A105" s="599"/>
      <c r="B105" s="598"/>
      <c r="C105" s="600" t="s">
        <v>379</v>
      </c>
      <c r="D105" s="596">
        <v>11100</v>
      </c>
    </row>
    <row r="106" spans="1:4" ht="18" customHeight="1">
      <c r="A106" s="606" t="str">
        <f>"16 財産収入"</f>
        <v>16 財産収入</v>
      </c>
      <c r="B106" s="605">
        <v>103010</v>
      </c>
      <c r="C106" s="600" t="s">
        <v>378</v>
      </c>
      <c r="D106" s="596">
        <v>11410</v>
      </c>
    </row>
    <row r="107" spans="1:4" ht="18" customHeight="1">
      <c r="A107" s="604"/>
      <c r="B107" s="603"/>
      <c r="C107" s="600" t="s">
        <v>377</v>
      </c>
      <c r="D107" s="596">
        <v>54000</v>
      </c>
    </row>
    <row r="108" spans="1:4" ht="18" customHeight="1">
      <c r="A108" s="599" t="str">
        <f>"17 寄附金"</f>
        <v>17 寄附金</v>
      </c>
      <c r="B108" s="598">
        <v>52000</v>
      </c>
      <c r="C108" s="600" t="s">
        <v>376</v>
      </c>
      <c r="D108" s="596">
        <v>30000</v>
      </c>
    </row>
    <row r="109" spans="1:4" ht="18" customHeight="1">
      <c r="A109" s="599"/>
      <c r="B109" s="598"/>
      <c r="C109" s="600" t="s">
        <v>375</v>
      </c>
      <c r="D109" s="596">
        <v>20000</v>
      </c>
    </row>
    <row r="110" spans="1:4" ht="18" customHeight="1">
      <c r="A110" s="599"/>
      <c r="B110" s="598"/>
      <c r="C110" s="600" t="s">
        <v>374</v>
      </c>
      <c r="D110" s="596">
        <v>1000</v>
      </c>
    </row>
    <row r="111" spans="1:4" ht="18" customHeight="1">
      <c r="A111" s="599"/>
      <c r="B111" s="598"/>
      <c r="C111" s="600" t="s">
        <v>373</v>
      </c>
      <c r="D111" s="596">
        <v>1000</v>
      </c>
    </row>
    <row r="112" spans="1:4" ht="18" customHeight="1">
      <c r="A112" s="606" t="str">
        <f>"18 繰入金"</f>
        <v>18 繰入金</v>
      </c>
      <c r="B112" s="605">
        <v>7138910</v>
      </c>
      <c r="C112" s="600" t="s">
        <v>372</v>
      </c>
      <c r="D112" s="596">
        <v>5500000</v>
      </c>
    </row>
    <row r="113" spans="1:4" ht="18" customHeight="1">
      <c r="A113" s="599"/>
      <c r="B113" s="598"/>
      <c r="C113" s="600" t="s">
        <v>371</v>
      </c>
      <c r="D113" s="596">
        <v>31160</v>
      </c>
    </row>
    <row r="114" spans="1:4" ht="18" customHeight="1">
      <c r="A114" s="599"/>
      <c r="B114" s="598"/>
      <c r="C114" s="600" t="s">
        <v>370</v>
      </c>
      <c r="D114" s="596">
        <v>1448000</v>
      </c>
    </row>
    <row r="115" spans="1:4" ht="18" customHeight="1">
      <c r="A115" s="599"/>
      <c r="B115" s="598"/>
      <c r="C115" s="600" t="s">
        <v>369</v>
      </c>
      <c r="D115" s="596">
        <v>57000</v>
      </c>
    </row>
    <row r="116" spans="1:4" ht="18" customHeight="1">
      <c r="A116" s="604"/>
      <c r="B116" s="603"/>
      <c r="C116" s="600" t="s">
        <v>368</v>
      </c>
      <c r="D116" s="596">
        <v>93300</v>
      </c>
    </row>
    <row r="117" spans="1:4" ht="18" customHeight="1">
      <c r="A117" s="608" t="str">
        <f>"19 繰越金"</f>
        <v>19 繰越金</v>
      </c>
      <c r="B117" s="607">
        <v>1000000</v>
      </c>
      <c r="C117" s="600" t="s">
        <v>367</v>
      </c>
      <c r="D117" s="596">
        <v>1000000</v>
      </c>
    </row>
    <row r="118" spans="1:4" ht="18" hidden="1" customHeight="1" outlineLevel="1">
      <c r="A118" s="599"/>
      <c r="B118" s="598"/>
      <c r="C118" s="600" t="s">
        <v>366</v>
      </c>
      <c r="D118" s="596">
        <v>170</v>
      </c>
    </row>
    <row r="119" spans="1:4" ht="18" customHeight="1" collapsed="1">
      <c r="A119" s="606" t="str">
        <f>"20 諸収入"</f>
        <v>20 諸収入</v>
      </c>
      <c r="B119" s="605">
        <v>3016865</v>
      </c>
      <c r="C119" s="600" t="s">
        <v>365</v>
      </c>
      <c r="D119" s="596">
        <v>96000</v>
      </c>
    </row>
    <row r="120" spans="1:4" s="877" customFormat="1" ht="18" customHeight="1">
      <c r="A120" s="599"/>
      <c r="B120" s="598"/>
      <c r="C120" s="600" t="s">
        <v>364</v>
      </c>
      <c r="D120" s="596">
        <v>18000</v>
      </c>
    </row>
    <row r="121" spans="1:4" ht="18" customHeight="1">
      <c r="A121" s="599"/>
      <c r="B121" s="598"/>
      <c r="C121" s="600" t="s">
        <v>363</v>
      </c>
      <c r="D121" s="596">
        <v>150000</v>
      </c>
    </row>
    <row r="122" spans="1:4" ht="18" customHeight="1">
      <c r="A122" s="599"/>
      <c r="B122" s="598"/>
      <c r="C122" s="600" t="s">
        <v>362</v>
      </c>
      <c r="D122" s="596">
        <v>70000</v>
      </c>
    </row>
    <row r="123" spans="1:4" ht="18" customHeight="1">
      <c r="A123" s="599"/>
      <c r="B123" s="598"/>
      <c r="C123" s="600" t="s">
        <v>361</v>
      </c>
      <c r="D123" s="596">
        <v>69200</v>
      </c>
    </row>
    <row r="124" spans="1:4" ht="18" customHeight="1">
      <c r="A124" s="599"/>
      <c r="B124" s="598"/>
      <c r="C124" s="600" t="s">
        <v>360</v>
      </c>
      <c r="D124" s="596">
        <v>80000</v>
      </c>
    </row>
    <row r="125" spans="1:4" ht="18" customHeight="1">
      <c r="A125" s="599"/>
      <c r="B125" s="598"/>
      <c r="C125" s="600" t="s">
        <v>359</v>
      </c>
      <c r="D125" s="596">
        <v>30000</v>
      </c>
    </row>
    <row r="126" spans="1:4" ht="18" customHeight="1">
      <c r="A126" s="599"/>
      <c r="B126" s="598"/>
      <c r="C126" s="600" t="s">
        <v>358</v>
      </c>
      <c r="D126" s="596">
        <v>1308000</v>
      </c>
    </row>
    <row r="127" spans="1:4" s="878" customFormat="1" ht="18" customHeight="1">
      <c r="A127" s="599"/>
      <c r="B127" s="598"/>
      <c r="C127" s="600" t="s">
        <v>357</v>
      </c>
      <c r="D127" s="596">
        <v>90000</v>
      </c>
    </row>
    <row r="128" spans="1:4" ht="18" customHeight="1">
      <c r="A128" s="599"/>
      <c r="B128" s="598"/>
      <c r="C128" s="600" t="s">
        <v>356</v>
      </c>
      <c r="D128" s="596">
        <v>39000</v>
      </c>
    </row>
    <row r="129" spans="1:4" ht="18" customHeight="1">
      <c r="A129" s="599"/>
      <c r="B129" s="598"/>
      <c r="C129" s="600" t="s">
        <v>355</v>
      </c>
      <c r="D129" s="596">
        <v>60000</v>
      </c>
    </row>
    <row r="130" spans="1:4" ht="18" customHeight="1">
      <c r="A130" s="599"/>
      <c r="B130" s="598"/>
      <c r="C130" s="600" t="s">
        <v>354</v>
      </c>
      <c r="D130" s="596">
        <v>60000</v>
      </c>
    </row>
    <row r="131" spans="1:4" ht="18" customHeight="1">
      <c r="A131" s="604"/>
      <c r="B131" s="603"/>
      <c r="C131" s="600" t="s">
        <v>353</v>
      </c>
      <c r="D131" s="596">
        <v>365000</v>
      </c>
    </row>
    <row r="132" spans="1:4" s="879" customFormat="1" ht="18" customHeight="1">
      <c r="A132" s="606" t="str">
        <f>"21 市債"</f>
        <v>21 市債</v>
      </c>
      <c r="B132" s="605">
        <v>9210400</v>
      </c>
      <c r="C132" s="600" t="s">
        <v>352</v>
      </c>
      <c r="D132" s="596">
        <v>130700</v>
      </c>
    </row>
    <row r="133" spans="1:4" s="878" customFormat="1" ht="18" customHeight="1">
      <c r="A133" s="599"/>
      <c r="B133" s="598"/>
      <c r="C133" s="600" t="s">
        <v>351</v>
      </c>
      <c r="D133" s="596">
        <v>552000</v>
      </c>
    </row>
    <row r="134" spans="1:4" s="878" customFormat="1" ht="18" customHeight="1">
      <c r="A134" s="599"/>
      <c r="B134" s="598"/>
      <c r="C134" s="600" t="s">
        <v>350</v>
      </c>
      <c r="D134" s="596">
        <v>50100</v>
      </c>
    </row>
    <row r="135" spans="1:4" s="878" customFormat="1" ht="18" customHeight="1">
      <c r="A135" s="599"/>
      <c r="B135" s="598"/>
      <c r="C135" s="600" t="s">
        <v>349</v>
      </c>
      <c r="D135" s="596">
        <v>10500</v>
      </c>
    </row>
    <row r="136" spans="1:4" s="878" customFormat="1" ht="18" customHeight="1">
      <c r="A136" s="599"/>
      <c r="B136" s="598"/>
      <c r="C136" s="600" t="s">
        <v>348</v>
      </c>
      <c r="D136" s="596">
        <v>4500</v>
      </c>
    </row>
    <row r="137" spans="1:4" s="878" customFormat="1" ht="18" customHeight="1">
      <c r="A137" s="599"/>
      <c r="B137" s="598"/>
      <c r="C137" s="600" t="s">
        <v>347</v>
      </c>
      <c r="D137" s="596">
        <v>150000</v>
      </c>
    </row>
    <row r="138" spans="1:4" s="878" customFormat="1" ht="18" customHeight="1">
      <c r="A138" s="604"/>
      <c r="B138" s="603"/>
      <c r="C138" s="600" t="s">
        <v>346</v>
      </c>
      <c r="D138" s="596">
        <v>615000</v>
      </c>
    </row>
    <row r="139" spans="1:4" ht="18" customHeight="1">
      <c r="A139" s="599"/>
      <c r="B139" s="598"/>
      <c r="C139" s="600" t="s">
        <v>345</v>
      </c>
      <c r="D139" s="596">
        <v>102000</v>
      </c>
    </row>
    <row r="140" spans="1:4" ht="18" customHeight="1">
      <c r="A140" s="599"/>
      <c r="B140" s="598"/>
      <c r="C140" s="600" t="s">
        <v>344</v>
      </c>
      <c r="D140" s="596">
        <v>44100</v>
      </c>
    </row>
    <row r="141" spans="1:4" ht="18" customHeight="1">
      <c r="A141" s="599"/>
      <c r="B141" s="598"/>
      <c r="C141" s="600" t="s">
        <v>343</v>
      </c>
      <c r="D141" s="596">
        <v>5900</v>
      </c>
    </row>
    <row r="142" spans="1:4" ht="18" customHeight="1">
      <c r="A142" s="599"/>
      <c r="B142" s="598"/>
      <c r="C142" s="602" t="s">
        <v>342</v>
      </c>
      <c r="D142" s="601">
        <v>7200</v>
      </c>
    </row>
    <row r="143" spans="1:4" ht="18" customHeight="1">
      <c r="A143" s="599"/>
      <c r="B143" s="598"/>
      <c r="C143" s="600" t="s">
        <v>341</v>
      </c>
      <c r="D143" s="596">
        <v>80800</v>
      </c>
    </row>
    <row r="144" spans="1:4" ht="18" customHeight="1">
      <c r="A144" s="599"/>
      <c r="B144" s="598"/>
      <c r="C144" s="600" t="s">
        <v>340</v>
      </c>
      <c r="D144" s="596">
        <v>5200</v>
      </c>
    </row>
    <row r="145" spans="1:4" ht="18" customHeight="1">
      <c r="A145" s="599"/>
      <c r="B145" s="598"/>
      <c r="C145" s="600" t="s">
        <v>339</v>
      </c>
      <c r="D145" s="596">
        <v>395300</v>
      </c>
    </row>
    <row r="146" spans="1:4" ht="18" customHeight="1">
      <c r="A146" s="599"/>
      <c r="B146" s="598"/>
      <c r="C146" s="600" t="s">
        <v>338</v>
      </c>
      <c r="D146" s="596">
        <v>450000</v>
      </c>
    </row>
    <row r="147" spans="1:4" ht="18" customHeight="1">
      <c r="A147" s="599"/>
      <c r="B147" s="598"/>
      <c r="C147" s="600" t="s">
        <v>337</v>
      </c>
      <c r="D147" s="596">
        <v>89100</v>
      </c>
    </row>
    <row r="148" spans="1:4" ht="18" customHeight="1">
      <c r="A148" s="599"/>
      <c r="B148" s="598"/>
      <c r="C148" s="600" t="s">
        <v>336</v>
      </c>
      <c r="D148" s="596">
        <v>67700</v>
      </c>
    </row>
    <row r="149" spans="1:4" ht="18" customHeight="1">
      <c r="A149" s="599"/>
      <c r="B149" s="598"/>
      <c r="C149" s="600" t="s">
        <v>335</v>
      </c>
      <c r="D149" s="596">
        <v>85100</v>
      </c>
    </row>
    <row r="150" spans="1:4" ht="18" customHeight="1">
      <c r="A150" s="599"/>
      <c r="B150" s="598"/>
      <c r="C150" s="600" t="s">
        <v>334</v>
      </c>
      <c r="D150" s="596">
        <v>181400</v>
      </c>
    </row>
    <row r="151" spans="1:4" ht="18" customHeight="1" collapsed="1">
      <c r="A151" s="599"/>
      <c r="B151" s="598"/>
      <c r="C151" s="600" t="s">
        <v>333</v>
      </c>
      <c r="D151" s="596">
        <v>149200</v>
      </c>
    </row>
    <row r="152" spans="1:4" ht="18" customHeight="1" collapsed="1">
      <c r="A152" s="599"/>
      <c r="B152" s="598"/>
      <c r="C152" s="600" t="s">
        <v>332</v>
      </c>
      <c r="D152" s="596">
        <v>106000</v>
      </c>
    </row>
    <row r="153" spans="1:4" ht="18" customHeight="1" collapsed="1">
      <c r="A153" s="599"/>
      <c r="B153" s="598"/>
      <c r="C153" s="600" t="s">
        <v>331</v>
      </c>
      <c r="D153" s="596">
        <v>631400</v>
      </c>
    </row>
    <row r="154" spans="1:4" ht="18" customHeight="1">
      <c r="A154" s="599"/>
      <c r="B154" s="598"/>
      <c r="C154" s="600" t="s">
        <v>330</v>
      </c>
      <c r="D154" s="596">
        <v>3232900</v>
      </c>
    </row>
    <row r="155" spans="1:4" ht="18" customHeight="1">
      <c r="A155" s="599"/>
      <c r="B155" s="598"/>
      <c r="C155" s="597" t="s">
        <v>329</v>
      </c>
      <c r="D155" s="596">
        <v>1300000</v>
      </c>
    </row>
    <row r="156" spans="1:4" ht="18" customHeight="1">
      <c r="A156" s="595" t="s">
        <v>328</v>
      </c>
      <c r="B156" s="594"/>
      <c r="C156" s="594"/>
      <c r="D156" s="593">
        <f>SUM(B5:B155)</f>
        <v>115700000</v>
      </c>
    </row>
  </sheetData>
  <mergeCells count="1">
    <mergeCell ref="A1:D1"/>
  </mergeCells>
  <phoneticPr fontId="4"/>
  <printOptions horizontalCentered="1"/>
  <pageMargins left="0.19685039370078741" right="0.23622047244094491" top="0.39370078740157483" bottom="0.55118110236220474" header="0.51181102362204722" footer="0.51181102362204722"/>
  <pageSetup paperSize="9" fitToHeight="0" orientation="portrait" r:id="rId1"/>
  <headerFooter scaleWithDoc="0" alignWithMargins="0"/>
  <rowBreaks count="3" manualBreakCount="3">
    <brk id="47" max="3" man="1"/>
    <brk id="92" max="3" man="1"/>
    <brk id="138" max="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5"/>
  <sheetViews>
    <sheetView zoomScaleNormal="100" zoomScaleSheetLayoutView="80" workbookViewId="0"/>
  </sheetViews>
  <sheetFormatPr defaultColWidth="9" defaultRowHeight="13.5"/>
  <cols>
    <col min="1" max="1" width="4.125" style="618" customWidth="1"/>
    <col min="2" max="2" width="21.625" style="618" customWidth="1"/>
    <col min="3" max="3" width="2.625" style="621" customWidth="1"/>
    <col min="4" max="4" width="35.125" style="620" customWidth="1"/>
    <col min="5" max="8" width="7.125" style="618" customWidth="1"/>
    <col min="9" max="9" width="8.625" style="619" customWidth="1"/>
    <col min="10" max="16384" width="9" style="618"/>
  </cols>
  <sheetData>
    <row r="1" spans="2:11" ht="18.75">
      <c r="B1" s="683" t="s">
        <v>948</v>
      </c>
    </row>
    <row r="2" spans="2:11" s="679" customFormat="1" ht="22.5" customHeight="1">
      <c r="B2" s="656"/>
      <c r="C2" s="682"/>
      <c r="D2" s="681"/>
      <c r="I2" s="680" t="s">
        <v>478</v>
      </c>
    </row>
    <row r="3" spans="2:11" s="679" customFormat="1" ht="18" customHeight="1">
      <c r="B3" s="863" t="str">
        <f>"款 （ 細 々 目 等 ）"</f>
        <v>款 （ 細 々 目 等 ）</v>
      </c>
      <c r="C3" s="865" t="s">
        <v>947</v>
      </c>
      <c r="D3" s="866"/>
      <c r="E3" s="869" t="s">
        <v>946</v>
      </c>
      <c r="F3" s="870"/>
      <c r="G3" s="870"/>
      <c r="H3" s="871"/>
      <c r="I3" s="872" t="s">
        <v>945</v>
      </c>
    </row>
    <row r="4" spans="2:11" s="679" customFormat="1" ht="19.5" customHeight="1">
      <c r="B4" s="864"/>
      <c r="C4" s="867"/>
      <c r="D4" s="868"/>
      <c r="E4" s="611" t="s">
        <v>944</v>
      </c>
      <c r="F4" s="611" t="s">
        <v>943</v>
      </c>
      <c r="G4" s="611" t="s">
        <v>942</v>
      </c>
      <c r="H4" s="611" t="s">
        <v>74</v>
      </c>
      <c r="I4" s="864"/>
    </row>
    <row r="5" spans="2:11" s="656" customFormat="1" ht="30" customHeight="1">
      <c r="B5" s="628" t="s">
        <v>941</v>
      </c>
      <c r="C5" s="861"/>
      <c r="D5" s="861"/>
      <c r="E5" s="626"/>
      <c r="F5" s="626"/>
      <c r="G5" s="626"/>
      <c r="H5" s="853">
        <v>582492</v>
      </c>
      <c r="I5" s="862"/>
      <c r="J5" s="678"/>
      <c r="K5" s="678"/>
    </row>
    <row r="6" spans="2:11" s="656" customFormat="1" ht="35.1" customHeight="1">
      <c r="B6" s="677" t="str">
        <f>"議員報酬費"</f>
        <v>議員報酬費</v>
      </c>
      <c r="C6" s="676"/>
      <c r="D6" s="675" t="s">
        <v>940</v>
      </c>
      <c r="E6" s="674"/>
      <c r="F6" s="674"/>
      <c r="G6" s="674"/>
      <c r="H6" s="674"/>
      <c r="I6" s="673">
        <v>387820</v>
      </c>
    </row>
    <row r="7" spans="2:11" s="656" customFormat="1" ht="35.1" customHeight="1">
      <c r="B7" s="643" t="s">
        <v>939</v>
      </c>
      <c r="C7" s="672"/>
      <c r="D7" s="640" t="s">
        <v>938</v>
      </c>
      <c r="E7" s="671"/>
      <c r="F7" s="671"/>
      <c r="G7" s="671"/>
      <c r="H7" s="671"/>
      <c r="I7" s="638">
        <v>8520</v>
      </c>
    </row>
    <row r="8" spans="2:11" s="656" customFormat="1" ht="35.1" customHeight="1">
      <c r="B8" s="670" t="s">
        <v>937</v>
      </c>
      <c r="C8" s="669"/>
      <c r="D8" s="668" t="s">
        <v>937</v>
      </c>
      <c r="E8" s="667"/>
      <c r="F8" s="667"/>
      <c r="G8" s="667"/>
      <c r="H8" s="667"/>
      <c r="I8" s="666">
        <v>30720</v>
      </c>
    </row>
    <row r="9" spans="2:11" s="656" customFormat="1" ht="30" customHeight="1">
      <c r="B9" s="635" t="s">
        <v>936</v>
      </c>
      <c r="C9" s="861"/>
      <c r="D9" s="861"/>
      <c r="E9" s="861"/>
      <c r="F9" s="861"/>
      <c r="G9" s="626"/>
      <c r="H9" s="853">
        <v>10949269</v>
      </c>
      <c r="I9" s="862"/>
    </row>
    <row r="10" spans="2:11" s="656" customFormat="1" ht="35.1" customHeight="1">
      <c r="B10" s="632" t="s">
        <v>935</v>
      </c>
      <c r="C10" s="631"/>
      <c r="D10" s="630" t="s">
        <v>934</v>
      </c>
      <c r="E10" s="629"/>
      <c r="F10" s="629"/>
      <c r="G10" s="629"/>
      <c r="H10" s="629"/>
      <c r="I10" s="629">
        <v>3882</v>
      </c>
    </row>
    <row r="11" spans="2:11" s="656" customFormat="1" ht="35.1" customHeight="1">
      <c r="B11" s="632" t="s">
        <v>933</v>
      </c>
      <c r="C11" s="631"/>
      <c r="D11" s="630" t="s">
        <v>932</v>
      </c>
      <c r="E11" s="629"/>
      <c r="F11" s="629"/>
      <c r="G11" s="629"/>
      <c r="H11" s="629"/>
      <c r="I11" s="629">
        <v>12000</v>
      </c>
    </row>
    <row r="12" spans="2:11" s="656" customFormat="1" ht="79.5" customHeight="1">
      <c r="B12" s="632" t="s">
        <v>931</v>
      </c>
      <c r="C12" s="631"/>
      <c r="D12" s="630" t="s">
        <v>930</v>
      </c>
      <c r="E12" s="629"/>
      <c r="F12" s="629"/>
      <c r="G12" s="629"/>
      <c r="H12" s="629"/>
      <c r="I12" s="629">
        <v>6800</v>
      </c>
    </row>
    <row r="13" spans="2:11" s="656" customFormat="1" ht="35.1" customHeight="1">
      <c r="B13" s="632" t="s">
        <v>929</v>
      </c>
      <c r="C13" s="631"/>
      <c r="D13" s="630" t="s">
        <v>928</v>
      </c>
      <c r="E13" s="629"/>
      <c r="F13" s="629"/>
      <c r="G13" s="629"/>
      <c r="H13" s="629">
        <v>4400</v>
      </c>
      <c r="I13" s="629">
        <v>38100</v>
      </c>
    </row>
    <row r="14" spans="2:11" s="656" customFormat="1" ht="35.1" customHeight="1">
      <c r="B14" s="632" t="s">
        <v>927</v>
      </c>
      <c r="C14" s="631"/>
      <c r="D14" s="630" t="s">
        <v>926</v>
      </c>
      <c r="E14" s="629"/>
      <c r="F14" s="629"/>
      <c r="G14" s="629"/>
      <c r="H14" s="629">
        <v>2100</v>
      </c>
      <c r="I14" s="629">
        <v>26300</v>
      </c>
    </row>
    <row r="15" spans="2:11" s="656" customFormat="1" ht="35.1" customHeight="1">
      <c r="B15" s="632" t="s">
        <v>925</v>
      </c>
      <c r="C15" s="631"/>
      <c r="D15" s="630" t="s">
        <v>924</v>
      </c>
      <c r="E15" s="629"/>
      <c r="F15" s="629"/>
      <c r="G15" s="629"/>
      <c r="H15" s="629"/>
      <c r="I15" s="629">
        <v>18928</v>
      </c>
    </row>
    <row r="16" spans="2:11" s="656" customFormat="1" ht="34.5" customHeight="1">
      <c r="B16" s="632" t="s">
        <v>923</v>
      </c>
      <c r="C16" s="631"/>
      <c r="D16" s="630" t="s">
        <v>922</v>
      </c>
      <c r="E16" s="629"/>
      <c r="F16" s="629"/>
      <c r="G16" s="629"/>
      <c r="H16" s="629"/>
      <c r="I16" s="629">
        <v>7240</v>
      </c>
    </row>
    <row r="17" spans="2:9" s="656" customFormat="1" ht="35.1" customHeight="1">
      <c r="B17" s="632" t="s">
        <v>921</v>
      </c>
      <c r="C17" s="631"/>
      <c r="D17" s="630" t="s">
        <v>920</v>
      </c>
      <c r="E17" s="629"/>
      <c r="F17" s="629"/>
      <c r="G17" s="629"/>
      <c r="H17" s="629"/>
      <c r="I17" s="629">
        <v>13995</v>
      </c>
    </row>
    <row r="18" spans="2:9" s="656" customFormat="1" ht="35.1" customHeight="1">
      <c r="B18" s="632" t="s">
        <v>919</v>
      </c>
      <c r="C18" s="631"/>
      <c r="D18" s="630" t="s">
        <v>918</v>
      </c>
      <c r="E18" s="629"/>
      <c r="F18" s="629"/>
      <c r="G18" s="629"/>
      <c r="H18" s="629"/>
      <c r="I18" s="629">
        <v>29870</v>
      </c>
    </row>
    <row r="19" spans="2:9" s="656" customFormat="1" ht="39.950000000000003" customHeight="1">
      <c r="B19" s="632" t="s">
        <v>917</v>
      </c>
      <c r="C19" s="631"/>
      <c r="D19" s="630" t="s">
        <v>916</v>
      </c>
      <c r="E19" s="629"/>
      <c r="F19" s="629"/>
      <c r="G19" s="629"/>
      <c r="H19" s="629">
        <v>365000</v>
      </c>
      <c r="I19" s="629">
        <v>667388</v>
      </c>
    </row>
    <row r="20" spans="2:9" s="656" customFormat="1" ht="79.5" customHeight="1">
      <c r="B20" s="632" t="s">
        <v>915</v>
      </c>
      <c r="C20" s="631"/>
      <c r="D20" s="630" t="s">
        <v>914</v>
      </c>
      <c r="E20" s="629"/>
      <c r="F20" s="629"/>
      <c r="G20" s="629"/>
      <c r="H20" s="629"/>
      <c r="I20" s="629">
        <v>20760</v>
      </c>
    </row>
    <row r="21" spans="2:9" s="656" customFormat="1" ht="35.1" customHeight="1">
      <c r="B21" s="632" t="s">
        <v>913</v>
      </c>
      <c r="C21" s="631"/>
      <c r="D21" s="630" t="s">
        <v>912</v>
      </c>
      <c r="E21" s="629">
        <v>441500</v>
      </c>
      <c r="F21" s="629"/>
      <c r="G21" s="629"/>
      <c r="H21" s="629">
        <v>10400</v>
      </c>
      <c r="I21" s="629">
        <v>1091890</v>
      </c>
    </row>
    <row r="22" spans="2:9" s="656" customFormat="1" ht="34.5" customHeight="1">
      <c r="B22" s="632" t="s">
        <v>911</v>
      </c>
      <c r="C22" s="631"/>
      <c r="D22" s="630" t="s">
        <v>910</v>
      </c>
      <c r="E22" s="629"/>
      <c r="F22" s="629">
        <v>600</v>
      </c>
      <c r="G22" s="629"/>
      <c r="H22" s="629"/>
      <c r="I22" s="629">
        <v>2230</v>
      </c>
    </row>
    <row r="23" spans="2:9" s="656" customFormat="1" ht="35.1" customHeight="1">
      <c r="B23" s="597" t="s">
        <v>909</v>
      </c>
      <c r="C23" s="631"/>
      <c r="D23" s="630" t="s">
        <v>908</v>
      </c>
      <c r="E23" s="629"/>
      <c r="F23" s="629">
        <v>2100</v>
      </c>
      <c r="G23" s="629"/>
      <c r="H23" s="629">
        <v>90780</v>
      </c>
      <c r="I23" s="629">
        <v>97990</v>
      </c>
    </row>
    <row r="24" spans="2:9" s="656" customFormat="1" ht="35.1" customHeight="1">
      <c r="B24" s="632" t="str">
        <f>"自治会振興事業"</f>
        <v>自治会振興事業</v>
      </c>
      <c r="C24" s="631"/>
      <c r="D24" s="630" t="s">
        <v>907</v>
      </c>
      <c r="E24" s="629"/>
      <c r="F24" s="629"/>
      <c r="G24" s="629"/>
      <c r="H24" s="629"/>
      <c r="I24" s="629">
        <v>93130</v>
      </c>
    </row>
    <row r="25" spans="2:9" s="656" customFormat="1" ht="35.1" customHeight="1">
      <c r="B25" s="632" t="str">
        <f>"集会施設整備事業"</f>
        <v>集会施設整備事業</v>
      </c>
      <c r="C25" s="631"/>
      <c r="D25" s="630" t="s">
        <v>906</v>
      </c>
      <c r="E25" s="629"/>
      <c r="F25" s="629">
        <v>4200</v>
      </c>
      <c r="G25" s="629"/>
      <c r="H25" s="629"/>
      <c r="I25" s="629">
        <v>11400</v>
      </c>
    </row>
    <row r="26" spans="2:9" s="656" customFormat="1" ht="35.1" customHeight="1">
      <c r="B26" s="597" t="str">
        <f>"コミュニティ活動推進事業"</f>
        <v>コミュニティ活動推進事業</v>
      </c>
      <c r="C26" s="631"/>
      <c r="D26" s="630" t="s">
        <v>905</v>
      </c>
      <c r="E26" s="629"/>
      <c r="F26" s="629"/>
      <c r="G26" s="629"/>
      <c r="H26" s="629">
        <f>2500+1020</f>
        <v>3520</v>
      </c>
      <c r="I26" s="629">
        <v>45510</v>
      </c>
    </row>
    <row r="27" spans="2:9" s="656" customFormat="1" ht="87" customHeight="1">
      <c r="B27" s="632" t="s">
        <v>298</v>
      </c>
      <c r="C27" s="631"/>
      <c r="D27" s="645" t="s">
        <v>904</v>
      </c>
      <c r="E27" s="629"/>
      <c r="F27" s="629"/>
      <c r="G27" s="629">
        <v>552000</v>
      </c>
      <c r="H27" s="629">
        <v>184000</v>
      </c>
      <c r="I27" s="629">
        <v>742950</v>
      </c>
    </row>
    <row r="28" spans="2:9" s="656" customFormat="1" ht="35.1" customHeight="1">
      <c r="B28" s="632" t="str">
        <f>"中央市民会館施設管理費"</f>
        <v>中央市民会館施設管理費</v>
      </c>
      <c r="C28" s="631"/>
      <c r="D28" s="645" t="s">
        <v>903</v>
      </c>
      <c r="E28" s="629">
        <v>10000</v>
      </c>
      <c r="F28" s="629"/>
      <c r="G28" s="629"/>
      <c r="H28" s="629">
        <v>35800</v>
      </c>
      <c r="I28" s="629">
        <v>238842</v>
      </c>
    </row>
    <row r="29" spans="2:9" s="656" customFormat="1" ht="35.1" customHeight="1">
      <c r="B29" s="632" t="s">
        <v>902</v>
      </c>
      <c r="C29" s="631"/>
      <c r="D29" s="630" t="s">
        <v>901</v>
      </c>
      <c r="E29" s="629"/>
      <c r="F29" s="629"/>
      <c r="G29" s="629"/>
      <c r="H29" s="629">
        <v>810</v>
      </c>
      <c r="I29" s="629">
        <v>127894</v>
      </c>
    </row>
    <row r="30" spans="2:9" s="656" customFormat="1" ht="34.5" customHeight="1">
      <c r="B30" s="632" t="s">
        <v>900</v>
      </c>
      <c r="C30" s="631"/>
      <c r="D30" s="630" t="s">
        <v>899</v>
      </c>
      <c r="E30" s="629"/>
      <c r="F30" s="629"/>
      <c r="G30" s="629"/>
      <c r="H30" s="629"/>
      <c r="I30" s="629">
        <v>1535</v>
      </c>
    </row>
    <row r="31" spans="2:9" s="656" customFormat="1" ht="54.75" customHeight="1">
      <c r="B31" s="632" t="s">
        <v>898</v>
      </c>
      <c r="C31" s="631"/>
      <c r="D31" s="630" t="s">
        <v>897</v>
      </c>
      <c r="E31" s="629"/>
      <c r="F31" s="629"/>
      <c r="G31" s="629"/>
      <c r="H31" s="629"/>
      <c r="I31" s="629">
        <v>16370</v>
      </c>
    </row>
    <row r="32" spans="2:9" s="656" customFormat="1" ht="54.75" customHeight="1">
      <c r="B32" s="632" t="s">
        <v>896</v>
      </c>
      <c r="C32" s="631"/>
      <c r="D32" s="630" t="s">
        <v>895</v>
      </c>
      <c r="E32" s="629"/>
      <c r="F32" s="629"/>
      <c r="G32" s="629"/>
      <c r="H32" s="629"/>
      <c r="I32" s="629">
        <v>5500</v>
      </c>
    </row>
    <row r="33" spans="2:11" s="656" customFormat="1" ht="79.5" customHeight="1">
      <c r="B33" s="632" t="s">
        <v>894</v>
      </c>
      <c r="C33" s="631" t="s">
        <v>893</v>
      </c>
      <c r="D33" s="630" t="s">
        <v>892</v>
      </c>
      <c r="E33" s="629">
        <v>6300</v>
      </c>
      <c r="F33" s="629"/>
      <c r="G33" s="629"/>
      <c r="H33" s="629">
        <v>14700</v>
      </c>
      <c r="I33" s="629">
        <v>21000</v>
      </c>
    </row>
    <row r="34" spans="2:11" s="656" customFormat="1" ht="35.1" customHeight="1">
      <c r="B34" s="632" t="s">
        <v>891</v>
      </c>
      <c r="C34" s="631"/>
      <c r="D34" s="630" t="s">
        <v>890</v>
      </c>
      <c r="E34" s="629"/>
      <c r="F34" s="629"/>
      <c r="G34" s="629"/>
      <c r="H34" s="629">
        <v>20</v>
      </c>
      <c r="I34" s="629">
        <v>36723</v>
      </c>
    </row>
    <row r="35" spans="2:11" s="656" customFormat="1" ht="35.1" customHeight="1">
      <c r="B35" s="632" t="s">
        <v>889</v>
      </c>
      <c r="C35" s="631"/>
      <c r="D35" s="630" t="s">
        <v>888</v>
      </c>
      <c r="E35" s="629">
        <v>8300</v>
      </c>
      <c r="F35" s="629"/>
      <c r="G35" s="629"/>
      <c r="H35" s="629">
        <v>2500</v>
      </c>
      <c r="I35" s="629">
        <v>32550</v>
      </c>
    </row>
    <row r="36" spans="2:11" s="656" customFormat="1" ht="35.1" customHeight="1">
      <c r="B36" s="632" t="s">
        <v>887</v>
      </c>
      <c r="C36" s="631"/>
      <c r="D36" s="630" t="s">
        <v>886</v>
      </c>
      <c r="E36" s="629"/>
      <c r="F36" s="629"/>
      <c r="G36" s="629"/>
      <c r="H36" s="629"/>
      <c r="I36" s="629">
        <v>61101</v>
      </c>
    </row>
    <row r="37" spans="2:11" s="656" customFormat="1" ht="35.1" customHeight="1">
      <c r="B37" s="632" t="s">
        <v>885</v>
      </c>
      <c r="C37" s="631"/>
      <c r="D37" s="645" t="s">
        <v>884</v>
      </c>
      <c r="E37" s="629"/>
      <c r="F37" s="629"/>
      <c r="G37" s="629"/>
      <c r="H37" s="629"/>
      <c r="I37" s="629">
        <v>6835</v>
      </c>
    </row>
    <row r="38" spans="2:11" s="656" customFormat="1" ht="35.1" customHeight="1">
      <c r="B38" s="632" t="s">
        <v>883</v>
      </c>
      <c r="C38" s="631"/>
      <c r="D38" s="630" t="s">
        <v>882</v>
      </c>
      <c r="E38" s="629"/>
      <c r="F38" s="629"/>
      <c r="G38" s="629"/>
      <c r="H38" s="629"/>
      <c r="I38" s="629">
        <v>13260</v>
      </c>
    </row>
    <row r="39" spans="2:11" s="656" customFormat="1" ht="35.1" customHeight="1">
      <c r="B39" s="632" t="s">
        <v>881</v>
      </c>
      <c r="C39" s="631"/>
      <c r="D39" s="630" t="s">
        <v>880</v>
      </c>
      <c r="E39" s="629"/>
      <c r="F39" s="629">
        <v>330</v>
      </c>
      <c r="G39" s="629"/>
      <c r="H39" s="629"/>
      <c r="I39" s="629">
        <v>2400</v>
      </c>
    </row>
    <row r="40" spans="2:11" s="656" customFormat="1" ht="79.5" customHeight="1">
      <c r="B40" s="632" t="str">
        <f>"災害予防対策事業"</f>
        <v>災害予防対策事業</v>
      </c>
      <c r="C40" s="631"/>
      <c r="D40" s="645" t="s">
        <v>879</v>
      </c>
      <c r="E40" s="629"/>
      <c r="F40" s="629"/>
      <c r="G40" s="629">
        <v>4500</v>
      </c>
      <c r="H40" s="629"/>
      <c r="I40" s="629">
        <v>75421</v>
      </c>
    </row>
    <row r="41" spans="2:11" s="656" customFormat="1" ht="35.1" customHeight="1">
      <c r="B41" s="632" t="str">
        <f>"自主防災組織育成事業"</f>
        <v>自主防災組織育成事業</v>
      </c>
      <c r="C41" s="631"/>
      <c r="D41" s="630" t="s">
        <v>878</v>
      </c>
      <c r="E41" s="629"/>
      <c r="F41" s="629"/>
      <c r="G41" s="629"/>
      <c r="H41" s="629"/>
      <c r="I41" s="629">
        <v>12000</v>
      </c>
    </row>
    <row r="42" spans="2:11" s="656" customFormat="1" ht="35.1" customHeight="1">
      <c r="B42" s="632" t="s">
        <v>877</v>
      </c>
      <c r="C42" s="631"/>
      <c r="D42" s="630" t="s">
        <v>876</v>
      </c>
      <c r="E42" s="629"/>
      <c r="F42" s="629"/>
      <c r="G42" s="629"/>
      <c r="H42" s="629"/>
      <c r="I42" s="629">
        <v>20000</v>
      </c>
    </row>
    <row r="43" spans="2:11" s="656" customFormat="1" ht="30" customHeight="1">
      <c r="B43" s="635" t="s">
        <v>875</v>
      </c>
      <c r="C43" s="634"/>
      <c r="D43" s="633"/>
      <c r="E43" s="626"/>
      <c r="F43" s="626"/>
      <c r="G43" s="626"/>
      <c r="H43" s="853">
        <v>55528644</v>
      </c>
      <c r="I43" s="854"/>
    </row>
    <row r="44" spans="2:11" s="656" customFormat="1" ht="34.5" customHeight="1">
      <c r="B44" s="632" t="s">
        <v>874</v>
      </c>
      <c r="C44" s="631"/>
      <c r="D44" s="630" t="s">
        <v>873</v>
      </c>
      <c r="E44" s="629"/>
      <c r="F44" s="629"/>
      <c r="G44" s="629"/>
      <c r="H44" s="629"/>
      <c r="I44" s="629">
        <v>48220</v>
      </c>
    </row>
    <row r="45" spans="2:11" s="656" customFormat="1" ht="39.950000000000003" customHeight="1">
      <c r="B45" s="632" t="s">
        <v>872</v>
      </c>
      <c r="C45" s="631"/>
      <c r="D45" s="630" t="s">
        <v>871</v>
      </c>
      <c r="E45" s="629">
        <v>1710</v>
      </c>
      <c r="F45" s="629">
        <v>3030</v>
      </c>
      <c r="G45" s="629"/>
      <c r="H45" s="629"/>
      <c r="I45" s="629">
        <v>32000</v>
      </c>
    </row>
    <row r="46" spans="2:11" s="656" customFormat="1" ht="34.5" customHeight="1">
      <c r="B46" s="632" t="s">
        <v>870</v>
      </c>
      <c r="C46" s="631"/>
      <c r="D46" s="630" t="s">
        <v>869</v>
      </c>
      <c r="E46" s="629">
        <v>53100</v>
      </c>
      <c r="F46" s="629"/>
      <c r="G46" s="629"/>
      <c r="H46" s="629"/>
      <c r="I46" s="629">
        <v>82500</v>
      </c>
    </row>
    <row r="47" spans="2:11" s="656" customFormat="1" ht="34.5" customHeight="1">
      <c r="B47" s="632" t="s">
        <v>868</v>
      </c>
      <c r="C47" s="631"/>
      <c r="D47" s="630" t="s">
        <v>867</v>
      </c>
      <c r="E47" s="629">
        <v>9000</v>
      </c>
      <c r="F47" s="629">
        <v>4500</v>
      </c>
      <c r="G47" s="629"/>
      <c r="H47" s="629"/>
      <c r="I47" s="629">
        <v>28480</v>
      </c>
      <c r="J47" s="665"/>
      <c r="K47" s="665"/>
    </row>
    <row r="48" spans="2:11" s="656" customFormat="1" ht="34.5" customHeight="1">
      <c r="B48" s="632" t="s">
        <v>866</v>
      </c>
      <c r="C48" s="631"/>
      <c r="D48" s="664" t="s">
        <v>865</v>
      </c>
      <c r="E48" s="629">
        <v>1597200</v>
      </c>
      <c r="F48" s="629">
        <v>798600</v>
      </c>
      <c r="G48" s="629"/>
      <c r="H48" s="629"/>
      <c r="I48" s="629">
        <v>3196360</v>
      </c>
    </row>
    <row r="49" spans="1:10" s="656" customFormat="1" ht="34.5" customHeight="1">
      <c r="B49" s="597" t="s">
        <v>864</v>
      </c>
      <c r="C49" s="631"/>
      <c r="D49" s="664" t="s">
        <v>863</v>
      </c>
      <c r="E49" s="629">
        <v>380000</v>
      </c>
      <c r="F49" s="629">
        <v>192100</v>
      </c>
      <c r="G49" s="629"/>
      <c r="H49" s="629"/>
      <c r="I49" s="629">
        <v>764200</v>
      </c>
    </row>
    <row r="50" spans="1:10" s="656" customFormat="1" ht="34.5" customHeight="1">
      <c r="B50" s="632" t="s">
        <v>862</v>
      </c>
      <c r="C50" s="631"/>
      <c r="D50" s="630" t="s">
        <v>861</v>
      </c>
      <c r="E50" s="629"/>
      <c r="F50" s="629"/>
      <c r="G50" s="629"/>
      <c r="H50" s="629">
        <v>85620</v>
      </c>
      <c r="I50" s="629">
        <v>204555</v>
      </c>
    </row>
    <row r="51" spans="1:10" s="656" customFormat="1" ht="34.5" customHeight="1">
      <c r="B51" s="597" t="s">
        <v>860</v>
      </c>
      <c r="C51" s="631"/>
      <c r="D51" s="664" t="s">
        <v>859</v>
      </c>
      <c r="E51" s="629">
        <v>458640</v>
      </c>
      <c r="F51" s="629">
        <v>229320</v>
      </c>
      <c r="G51" s="629"/>
      <c r="H51" s="629"/>
      <c r="I51" s="629">
        <v>937600</v>
      </c>
    </row>
    <row r="52" spans="1:10" s="656" customFormat="1" ht="34.5" customHeight="1">
      <c r="B52" s="632" t="s">
        <v>858</v>
      </c>
      <c r="C52" s="631"/>
      <c r="D52" s="630" t="s">
        <v>857</v>
      </c>
      <c r="E52" s="629">
        <v>46460</v>
      </c>
      <c r="F52" s="629">
        <v>29500</v>
      </c>
      <c r="G52" s="629"/>
      <c r="H52" s="629">
        <v>5800</v>
      </c>
      <c r="I52" s="629">
        <v>165680</v>
      </c>
    </row>
    <row r="53" spans="1:10" s="656" customFormat="1" ht="34.5" customHeight="1">
      <c r="B53" s="632" t="s">
        <v>856</v>
      </c>
      <c r="C53" s="631"/>
      <c r="D53" s="630" t="s">
        <v>855</v>
      </c>
      <c r="E53" s="629">
        <v>12920</v>
      </c>
      <c r="F53" s="629">
        <v>6850</v>
      </c>
      <c r="G53" s="629"/>
      <c r="H53" s="629"/>
      <c r="I53" s="629">
        <v>105030</v>
      </c>
    </row>
    <row r="54" spans="1:10" s="656" customFormat="1" ht="34.5" customHeight="1">
      <c r="A54" s="873"/>
      <c r="B54" s="632" t="s">
        <v>854</v>
      </c>
      <c r="C54" s="631"/>
      <c r="D54" s="630" t="s">
        <v>853</v>
      </c>
      <c r="E54" s="629">
        <v>23600</v>
      </c>
      <c r="F54" s="629">
        <v>11800</v>
      </c>
      <c r="G54" s="629"/>
      <c r="H54" s="629"/>
      <c r="I54" s="629">
        <v>122210</v>
      </c>
    </row>
    <row r="55" spans="1:10" s="656" customFormat="1" ht="34.5" customHeight="1">
      <c r="A55" s="873"/>
      <c r="B55" s="632" t="s">
        <v>852</v>
      </c>
      <c r="C55" s="631"/>
      <c r="D55" s="630" t="s">
        <v>851</v>
      </c>
      <c r="E55" s="629"/>
      <c r="F55" s="629">
        <v>280000</v>
      </c>
      <c r="G55" s="629"/>
      <c r="H55" s="629"/>
      <c r="I55" s="629">
        <v>568460</v>
      </c>
    </row>
    <row r="56" spans="1:10" s="656" customFormat="1" ht="34.5" customHeight="1">
      <c r="A56" s="873"/>
      <c r="B56" s="632" t="s">
        <v>850</v>
      </c>
      <c r="C56" s="631"/>
      <c r="D56" s="630" t="s">
        <v>849</v>
      </c>
      <c r="E56" s="629">
        <v>26000</v>
      </c>
      <c r="F56" s="629">
        <v>13000</v>
      </c>
      <c r="G56" s="629"/>
      <c r="H56" s="629"/>
      <c r="I56" s="629">
        <v>65000</v>
      </c>
    </row>
    <row r="57" spans="1:10" s="656" customFormat="1" ht="34.5" customHeight="1">
      <c r="A57" s="873"/>
      <c r="B57" s="632" t="s">
        <v>848</v>
      </c>
      <c r="C57" s="631"/>
      <c r="D57" s="630" t="s">
        <v>847</v>
      </c>
      <c r="E57" s="629"/>
      <c r="F57" s="629"/>
      <c r="G57" s="629"/>
      <c r="H57" s="629"/>
      <c r="I57" s="629">
        <v>9480</v>
      </c>
    </row>
    <row r="58" spans="1:10" s="656" customFormat="1" ht="34.5" customHeight="1">
      <c r="B58" s="632" t="s">
        <v>846</v>
      </c>
      <c r="C58" s="631"/>
      <c r="D58" s="630" t="s">
        <v>845</v>
      </c>
      <c r="E58" s="629">
        <v>254500</v>
      </c>
      <c r="F58" s="629">
        <v>610900</v>
      </c>
      <c r="G58" s="629"/>
      <c r="H58" s="629">
        <v>5800</v>
      </c>
      <c r="I58" s="629">
        <v>2770000</v>
      </c>
    </row>
    <row r="59" spans="1:10" s="656" customFormat="1" ht="34.5" customHeight="1">
      <c r="B59" s="632" t="s">
        <v>844</v>
      </c>
      <c r="C59" s="631"/>
      <c r="D59" s="630" t="s">
        <v>843</v>
      </c>
      <c r="E59" s="629"/>
      <c r="F59" s="629"/>
      <c r="G59" s="629"/>
      <c r="H59" s="629">
        <v>1180</v>
      </c>
      <c r="I59" s="629">
        <v>337873</v>
      </c>
    </row>
    <row r="60" spans="1:10" s="656" customFormat="1" ht="34.5" customHeight="1">
      <c r="B60" s="632" t="s">
        <v>842</v>
      </c>
      <c r="C60" s="631"/>
      <c r="D60" s="630" t="s">
        <v>841</v>
      </c>
      <c r="E60" s="629"/>
      <c r="F60" s="629"/>
      <c r="G60" s="629">
        <v>150000</v>
      </c>
      <c r="H60" s="629"/>
      <c r="I60" s="629">
        <v>343230</v>
      </c>
    </row>
    <row r="61" spans="1:10" s="656" customFormat="1" ht="34.5" customHeight="1">
      <c r="B61" s="632" t="s">
        <v>840</v>
      </c>
      <c r="C61" s="631"/>
      <c r="D61" s="630" t="s">
        <v>839</v>
      </c>
      <c r="E61" s="629">
        <v>142000</v>
      </c>
      <c r="F61" s="629">
        <v>71000</v>
      </c>
      <c r="G61" s="629"/>
      <c r="H61" s="629">
        <v>750</v>
      </c>
      <c r="I61" s="629">
        <v>3722000</v>
      </c>
    </row>
    <row r="62" spans="1:10" s="656" customFormat="1" ht="79.5" customHeight="1">
      <c r="A62" s="873"/>
      <c r="B62" s="632" t="s">
        <v>838</v>
      </c>
      <c r="C62" s="631"/>
      <c r="D62" s="630" t="s">
        <v>837</v>
      </c>
      <c r="E62" s="629">
        <v>140300</v>
      </c>
      <c r="F62" s="629">
        <v>70150</v>
      </c>
      <c r="G62" s="629"/>
      <c r="H62" s="629">
        <v>83900</v>
      </c>
      <c r="I62" s="629">
        <v>364610</v>
      </c>
    </row>
    <row r="63" spans="1:10" s="656" customFormat="1" ht="34.5" customHeight="1">
      <c r="B63" s="632" t="s">
        <v>836</v>
      </c>
      <c r="C63" s="631"/>
      <c r="D63" s="630" t="s">
        <v>835</v>
      </c>
      <c r="E63" s="629"/>
      <c r="F63" s="629"/>
      <c r="G63" s="629"/>
      <c r="H63" s="629"/>
      <c r="I63" s="629">
        <v>3402000</v>
      </c>
      <c r="J63" s="678"/>
    </row>
    <row r="64" spans="1:10" s="656" customFormat="1" ht="34.5" customHeight="1">
      <c r="B64" s="597" t="s">
        <v>834</v>
      </c>
      <c r="C64" s="631"/>
      <c r="D64" s="630" t="s">
        <v>833</v>
      </c>
      <c r="E64" s="629"/>
      <c r="F64" s="629">
        <v>668000</v>
      </c>
      <c r="G64" s="629"/>
      <c r="H64" s="629"/>
      <c r="I64" s="629">
        <v>1012000</v>
      </c>
    </row>
    <row r="65" spans="1:9" s="656" customFormat="1" ht="34.5" customHeight="1">
      <c r="B65" s="632" t="s">
        <v>832</v>
      </c>
      <c r="C65" s="631"/>
      <c r="D65" s="640" t="s">
        <v>831</v>
      </c>
      <c r="E65" s="629">
        <v>4150</v>
      </c>
      <c r="F65" s="629">
        <v>50</v>
      </c>
      <c r="G65" s="629"/>
      <c r="H65" s="629"/>
      <c r="I65" s="629">
        <v>11220</v>
      </c>
    </row>
    <row r="66" spans="1:9" s="656" customFormat="1" ht="96" customHeight="1">
      <c r="A66" s="873"/>
      <c r="B66" s="643" t="s">
        <v>830</v>
      </c>
      <c r="C66" s="631"/>
      <c r="D66" s="640" t="s">
        <v>829</v>
      </c>
      <c r="E66" s="638">
        <v>14950</v>
      </c>
      <c r="F66" s="638">
        <v>14950</v>
      </c>
      <c r="G66" s="638"/>
      <c r="H66" s="638"/>
      <c r="I66" s="638">
        <v>53370</v>
      </c>
    </row>
    <row r="67" spans="1:9" s="656" customFormat="1" ht="79.5" customHeight="1">
      <c r="B67" s="632" t="s">
        <v>828</v>
      </c>
      <c r="C67" s="631"/>
      <c r="D67" s="630" t="s">
        <v>827</v>
      </c>
      <c r="E67" s="629">
        <v>121380</v>
      </c>
      <c r="F67" s="629">
        <v>101200</v>
      </c>
      <c r="G67" s="629"/>
      <c r="H67" s="629">
        <v>2700</v>
      </c>
      <c r="I67" s="629">
        <v>750140</v>
      </c>
    </row>
    <row r="68" spans="1:9" s="656" customFormat="1" ht="34.5" customHeight="1">
      <c r="B68" s="632" t="s">
        <v>826</v>
      </c>
      <c r="C68" s="631"/>
      <c r="D68" s="630" t="s">
        <v>825</v>
      </c>
      <c r="E68" s="629">
        <v>26470</v>
      </c>
      <c r="F68" s="629">
        <v>8500</v>
      </c>
      <c r="G68" s="629"/>
      <c r="H68" s="629">
        <v>17600</v>
      </c>
      <c r="I68" s="629">
        <v>135016</v>
      </c>
    </row>
    <row r="69" spans="1:9" s="656" customFormat="1" ht="65.25" customHeight="1">
      <c r="B69" s="632" t="s">
        <v>824</v>
      </c>
      <c r="C69" s="631"/>
      <c r="D69" s="630" t="s">
        <v>823</v>
      </c>
      <c r="E69" s="629">
        <v>6900</v>
      </c>
      <c r="F69" s="629">
        <v>6900</v>
      </c>
      <c r="G69" s="629"/>
      <c r="H69" s="629">
        <v>1600</v>
      </c>
      <c r="I69" s="629">
        <v>35600</v>
      </c>
    </row>
    <row r="70" spans="1:9" s="656" customFormat="1" ht="75.75" customHeight="1">
      <c r="B70" s="632" t="s">
        <v>822</v>
      </c>
      <c r="C70" s="631"/>
      <c r="D70" s="630" t="s">
        <v>821</v>
      </c>
      <c r="E70" s="629"/>
      <c r="F70" s="629">
        <v>240000</v>
      </c>
      <c r="G70" s="629"/>
      <c r="H70" s="629"/>
      <c r="I70" s="629">
        <v>1350050</v>
      </c>
    </row>
    <row r="71" spans="1:9" s="656" customFormat="1" ht="34.5" customHeight="1">
      <c r="B71" s="597" t="s">
        <v>820</v>
      </c>
      <c r="C71" s="631"/>
      <c r="D71" s="630" t="s">
        <v>819</v>
      </c>
      <c r="E71" s="629">
        <v>3746000</v>
      </c>
      <c r="F71" s="629">
        <v>1682000</v>
      </c>
      <c r="G71" s="629"/>
      <c r="H71" s="629">
        <v>285000</v>
      </c>
      <c r="I71" s="629">
        <v>7600000</v>
      </c>
    </row>
    <row r="72" spans="1:9" s="656" customFormat="1" ht="65.25" customHeight="1">
      <c r="B72" s="632" t="s">
        <v>818</v>
      </c>
      <c r="C72" s="631"/>
      <c r="D72" s="630" t="s">
        <v>817</v>
      </c>
      <c r="E72" s="629">
        <v>3800000</v>
      </c>
      <c r="F72" s="629">
        <v>800000</v>
      </c>
      <c r="G72" s="629"/>
      <c r="H72" s="629"/>
      <c r="I72" s="629">
        <v>5501000</v>
      </c>
    </row>
    <row r="73" spans="1:9" s="656" customFormat="1" ht="34.5" customHeight="1">
      <c r="B73" s="632" t="s">
        <v>816</v>
      </c>
      <c r="C73" s="631"/>
      <c r="D73" s="640" t="s">
        <v>815</v>
      </c>
      <c r="E73" s="629"/>
      <c r="F73" s="629"/>
      <c r="G73" s="629"/>
      <c r="H73" s="629"/>
      <c r="I73" s="629">
        <v>5500</v>
      </c>
    </row>
    <row r="74" spans="1:9" s="656" customFormat="1" ht="34.5" customHeight="1">
      <c r="B74" s="632" t="s">
        <v>814</v>
      </c>
      <c r="C74" s="631"/>
      <c r="D74" s="630" t="s">
        <v>813</v>
      </c>
      <c r="E74" s="629">
        <v>326000</v>
      </c>
      <c r="F74" s="629"/>
      <c r="G74" s="629"/>
      <c r="H74" s="629"/>
      <c r="I74" s="629">
        <v>978000</v>
      </c>
    </row>
    <row r="75" spans="1:9" s="656" customFormat="1" ht="34.5" customHeight="1">
      <c r="B75" s="632" t="s">
        <v>812</v>
      </c>
      <c r="C75" s="631"/>
      <c r="D75" s="630" t="s">
        <v>811</v>
      </c>
      <c r="E75" s="629">
        <v>3600</v>
      </c>
      <c r="F75" s="629">
        <v>1800</v>
      </c>
      <c r="G75" s="629"/>
      <c r="H75" s="629">
        <v>37370</v>
      </c>
      <c r="I75" s="629">
        <v>42770</v>
      </c>
    </row>
    <row r="76" spans="1:9" s="656" customFormat="1" ht="34.5" customHeight="1">
      <c r="B76" s="632" t="s">
        <v>810</v>
      </c>
      <c r="C76" s="631"/>
      <c r="D76" s="630" t="s">
        <v>809</v>
      </c>
      <c r="E76" s="629">
        <v>10000</v>
      </c>
      <c r="F76" s="629"/>
      <c r="G76" s="629"/>
      <c r="H76" s="629">
        <v>69500</v>
      </c>
      <c r="I76" s="629">
        <v>118220</v>
      </c>
    </row>
    <row r="77" spans="1:9" s="656" customFormat="1" ht="66.75" customHeight="1">
      <c r="B77" s="632" t="s">
        <v>808</v>
      </c>
      <c r="C77" s="631"/>
      <c r="D77" s="630" t="s">
        <v>807</v>
      </c>
      <c r="E77" s="629"/>
      <c r="F77" s="629"/>
      <c r="G77" s="629">
        <v>615000</v>
      </c>
      <c r="H77" s="629">
        <v>340900</v>
      </c>
      <c r="I77" s="629">
        <v>977640</v>
      </c>
    </row>
    <row r="78" spans="1:9" s="656" customFormat="1" ht="34.5" customHeight="1">
      <c r="B78" s="632" t="s">
        <v>806</v>
      </c>
      <c r="C78" s="631"/>
      <c r="D78" s="663" t="s">
        <v>805</v>
      </c>
      <c r="E78" s="629"/>
      <c r="F78" s="629"/>
      <c r="G78" s="629"/>
      <c r="H78" s="629"/>
      <c r="I78" s="629">
        <v>6580</v>
      </c>
    </row>
    <row r="79" spans="1:9" s="656" customFormat="1" ht="72.75" customHeight="1">
      <c r="B79" s="632" t="s">
        <v>804</v>
      </c>
      <c r="C79" s="631"/>
      <c r="D79" s="663" t="s">
        <v>803</v>
      </c>
      <c r="E79" s="629"/>
      <c r="F79" s="629"/>
      <c r="G79" s="629"/>
      <c r="H79" s="629">
        <v>240</v>
      </c>
      <c r="I79" s="629">
        <v>17203</v>
      </c>
    </row>
    <row r="80" spans="1:9" s="656" customFormat="1" ht="63.75" customHeight="1">
      <c r="B80" s="632" t="s">
        <v>802</v>
      </c>
      <c r="C80" s="631"/>
      <c r="D80" s="630" t="s">
        <v>801</v>
      </c>
      <c r="E80" s="629">
        <v>8000</v>
      </c>
      <c r="F80" s="629">
        <v>8000</v>
      </c>
      <c r="G80" s="629"/>
      <c r="H80" s="629"/>
      <c r="I80" s="629">
        <v>27200</v>
      </c>
    </row>
    <row r="81" spans="2:9" s="656" customFormat="1" ht="34.5" customHeight="1">
      <c r="B81" s="632" t="s">
        <v>800</v>
      </c>
      <c r="C81" s="631"/>
      <c r="D81" s="630" t="s">
        <v>799</v>
      </c>
      <c r="E81" s="629"/>
      <c r="F81" s="629"/>
      <c r="G81" s="629"/>
      <c r="H81" s="629"/>
      <c r="I81" s="629">
        <v>6890</v>
      </c>
    </row>
    <row r="82" spans="2:9" s="656" customFormat="1" ht="77.25" customHeight="1">
      <c r="B82" s="632" t="s">
        <v>798</v>
      </c>
      <c r="C82" s="631"/>
      <c r="D82" s="630" t="s">
        <v>797</v>
      </c>
      <c r="E82" s="629">
        <v>60100</v>
      </c>
      <c r="F82" s="629">
        <v>14800</v>
      </c>
      <c r="G82" s="629"/>
      <c r="H82" s="629">
        <v>20100</v>
      </c>
      <c r="I82" s="629">
        <v>95000</v>
      </c>
    </row>
    <row r="83" spans="2:9" s="656" customFormat="1" ht="65.25" customHeight="1">
      <c r="B83" s="632" t="s">
        <v>796</v>
      </c>
      <c r="C83" s="631"/>
      <c r="D83" s="630" t="s">
        <v>795</v>
      </c>
      <c r="E83" s="629">
        <v>84500</v>
      </c>
      <c r="F83" s="629">
        <v>21000</v>
      </c>
      <c r="G83" s="629">
        <v>102000</v>
      </c>
      <c r="H83" s="629">
        <v>27700</v>
      </c>
      <c r="I83" s="629">
        <v>240010</v>
      </c>
    </row>
    <row r="84" spans="2:9" s="656" customFormat="1" ht="34.5" customHeight="1">
      <c r="B84" s="632" t="s">
        <v>794</v>
      </c>
      <c r="C84" s="631"/>
      <c r="D84" s="630" t="s">
        <v>793</v>
      </c>
      <c r="E84" s="629">
        <v>21030</v>
      </c>
      <c r="F84" s="629"/>
      <c r="G84" s="629"/>
      <c r="H84" s="629"/>
      <c r="I84" s="629">
        <v>48152</v>
      </c>
    </row>
    <row r="85" spans="2:9" s="656" customFormat="1" ht="34.5" customHeight="1">
      <c r="B85" s="632" t="s">
        <v>792</v>
      </c>
      <c r="C85" s="631"/>
      <c r="D85" s="630" t="s">
        <v>791</v>
      </c>
      <c r="E85" s="629">
        <v>5629800</v>
      </c>
      <c r="F85" s="629"/>
      <c r="G85" s="629"/>
      <c r="H85" s="629"/>
      <c r="I85" s="629">
        <v>7506400</v>
      </c>
    </row>
    <row r="86" spans="2:9" s="652" customFormat="1" ht="30" customHeight="1">
      <c r="B86" s="635" t="s">
        <v>790</v>
      </c>
      <c r="C86" s="655"/>
      <c r="D86" s="658"/>
      <c r="E86" s="653"/>
      <c r="F86" s="653"/>
      <c r="G86" s="653"/>
      <c r="H86" s="853">
        <v>10654617</v>
      </c>
      <c r="I86" s="854"/>
    </row>
    <row r="87" spans="2:9" s="656" customFormat="1" ht="34.5" customHeight="1">
      <c r="B87" s="643" t="s">
        <v>789</v>
      </c>
      <c r="C87" s="641"/>
      <c r="D87" s="640" t="s">
        <v>788</v>
      </c>
      <c r="E87" s="629"/>
      <c r="F87" s="629">
        <v>350</v>
      </c>
      <c r="G87" s="629"/>
      <c r="H87" s="629"/>
      <c r="I87" s="629">
        <v>49500</v>
      </c>
    </row>
    <row r="88" spans="2:9" s="656" customFormat="1" ht="34.5" customHeight="1">
      <c r="B88" s="643" t="s">
        <v>787</v>
      </c>
      <c r="C88" s="641"/>
      <c r="D88" s="640" t="s">
        <v>786</v>
      </c>
      <c r="E88" s="629"/>
      <c r="F88" s="629">
        <v>16800</v>
      </c>
      <c r="G88" s="629"/>
      <c r="H88" s="629">
        <v>29800</v>
      </c>
      <c r="I88" s="629">
        <v>62990</v>
      </c>
    </row>
    <row r="89" spans="2:9" s="656" customFormat="1" ht="65.25" customHeight="1">
      <c r="B89" s="643" t="s">
        <v>785</v>
      </c>
      <c r="C89" s="641"/>
      <c r="D89" s="640" t="s">
        <v>784</v>
      </c>
      <c r="E89" s="629">
        <v>10</v>
      </c>
      <c r="F89" s="629">
        <v>490</v>
      </c>
      <c r="G89" s="629"/>
      <c r="H89" s="629">
        <v>6820</v>
      </c>
      <c r="I89" s="629">
        <v>13750</v>
      </c>
    </row>
    <row r="90" spans="2:9" s="656" customFormat="1" ht="54.75" customHeight="1">
      <c r="B90" s="643" t="s">
        <v>783</v>
      </c>
      <c r="C90" s="641"/>
      <c r="D90" s="640" t="s">
        <v>782</v>
      </c>
      <c r="E90" s="629">
        <v>10600</v>
      </c>
      <c r="F90" s="629"/>
      <c r="G90" s="629"/>
      <c r="H90" s="629"/>
      <c r="I90" s="629">
        <v>302485</v>
      </c>
    </row>
    <row r="91" spans="2:9" s="656" customFormat="1" ht="34.5" customHeight="1">
      <c r="B91" s="643" t="s">
        <v>781</v>
      </c>
      <c r="C91" s="641"/>
      <c r="D91" s="640" t="s">
        <v>780</v>
      </c>
      <c r="E91" s="629">
        <v>5340</v>
      </c>
      <c r="F91" s="629">
        <v>3070</v>
      </c>
      <c r="G91" s="629"/>
      <c r="H91" s="629"/>
      <c r="I91" s="629">
        <v>18620</v>
      </c>
    </row>
    <row r="92" spans="2:9" s="656" customFormat="1" ht="34.5" customHeight="1">
      <c r="B92" s="643" t="s">
        <v>779</v>
      </c>
      <c r="C92" s="641"/>
      <c r="D92" s="640" t="s">
        <v>778</v>
      </c>
      <c r="E92" s="629">
        <v>51190</v>
      </c>
      <c r="F92" s="629">
        <v>8400</v>
      </c>
      <c r="G92" s="629"/>
      <c r="H92" s="629">
        <v>4000</v>
      </c>
      <c r="I92" s="629">
        <v>109740</v>
      </c>
    </row>
    <row r="93" spans="2:9" s="656" customFormat="1" ht="34.5" customHeight="1">
      <c r="B93" s="643" t="s">
        <v>777</v>
      </c>
      <c r="C93" s="641"/>
      <c r="D93" s="640" t="s">
        <v>776</v>
      </c>
      <c r="E93" s="629">
        <v>400</v>
      </c>
      <c r="F93" s="629">
        <v>3180</v>
      </c>
      <c r="G93" s="629"/>
      <c r="H93" s="629"/>
      <c r="I93" s="629">
        <v>17830</v>
      </c>
    </row>
    <row r="94" spans="2:9" s="656" customFormat="1" ht="65.25" customHeight="1">
      <c r="B94" s="643" t="s">
        <v>775</v>
      </c>
      <c r="C94" s="641"/>
      <c r="D94" s="640" t="s">
        <v>774</v>
      </c>
      <c r="E94" s="629">
        <v>2330</v>
      </c>
      <c r="F94" s="629"/>
      <c r="G94" s="629"/>
      <c r="H94" s="629"/>
      <c r="I94" s="629">
        <v>471730</v>
      </c>
    </row>
    <row r="95" spans="2:9" s="656" customFormat="1" ht="34.5" customHeight="1">
      <c r="B95" s="643" t="s">
        <v>773</v>
      </c>
      <c r="C95" s="641"/>
      <c r="D95" s="640" t="s">
        <v>772</v>
      </c>
      <c r="E95" s="629"/>
      <c r="F95" s="629">
        <v>3690</v>
      </c>
      <c r="G95" s="629"/>
      <c r="H95" s="629"/>
      <c r="I95" s="629">
        <v>34520</v>
      </c>
    </row>
    <row r="96" spans="2:9" s="656" customFormat="1" ht="65.25" customHeight="1">
      <c r="B96" s="643" t="s">
        <v>771</v>
      </c>
      <c r="C96" s="641"/>
      <c r="D96" s="640" t="s">
        <v>770</v>
      </c>
      <c r="E96" s="629">
        <v>2600</v>
      </c>
      <c r="F96" s="629"/>
      <c r="G96" s="629"/>
      <c r="H96" s="629"/>
      <c r="I96" s="629">
        <v>1142750</v>
      </c>
    </row>
    <row r="97" spans="2:9" s="656" customFormat="1" ht="34.5" customHeight="1">
      <c r="B97" s="643" t="s">
        <v>769</v>
      </c>
      <c r="C97" s="641"/>
      <c r="D97" s="644" t="s">
        <v>768</v>
      </c>
      <c r="E97" s="629"/>
      <c r="F97" s="629"/>
      <c r="G97" s="629"/>
      <c r="H97" s="629">
        <v>30010</v>
      </c>
      <c r="I97" s="629">
        <v>124140</v>
      </c>
    </row>
    <row r="98" spans="2:9" s="656" customFormat="1" ht="34.5" customHeight="1">
      <c r="B98" s="643" t="s">
        <v>303</v>
      </c>
      <c r="C98" s="641"/>
      <c r="D98" s="644" t="s">
        <v>767</v>
      </c>
      <c r="E98" s="629">
        <v>25200</v>
      </c>
      <c r="F98" s="629">
        <v>110</v>
      </c>
      <c r="G98" s="629"/>
      <c r="H98" s="629"/>
      <c r="I98" s="629">
        <v>42014</v>
      </c>
    </row>
    <row r="99" spans="2:9" s="656" customFormat="1" ht="34.5" customHeight="1">
      <c r="B99" s="643" t="s">
        <v>766</v>
      </c>
      <c r="C99" s="641"/>
      <c r="D99" s="644" t="s">
        <v>765</v>
      </c>
      <c r="E99" s="629"/>
      <c r="F99" s="629">
        <v>600</v>
      </c>
      <c r="G99" s="629"/>
      <c r="H99" s="629"/>
      <c r="I99" s="629">
        <v>1830</v>
      </c>
    </row>
    <row r="100" spans="2:9" s="656" customFormat="1" ht="34.5" customHeight="1">
      <c r="B100" s="643" t="s">
        <v>764</v>
      </c>
      <c r="C100" s="641"/>
      <c r="D100" s="644" t="s">
        <v>763</v>
      </c>
      <c r="E100" s="629">
        <v>2497</v>
      </c>
      <c r="F100" s="629"/>
      <c r="G100" s="629"/>
      <c r="H100" s="629">
        <v>800</v>
      </c>
      <c r="I100" s="629">
        <v>10890</v>
      </c>
    </row>
    <row r="101" spans="2:9" s="656" customFormat="1" ht="65.25" customHeight="1">
      <c r="B101" s="643" t="s">
        <v>762</v>
      </c>
      <c r="C101" s="641"/>
      <c r="D101" s="644" t="s">
        <v>761</v>
      </c>
      <c r="E101" s="629"/>
      <c r="F101" s="629"/>
      <c r="G101" s="629"/>
      <c r="H101" s="629">
        <v>5540</v>
      </c>
      <c r="I101" s="629">
        <v>5540</v>
      </c>
    </row>
    <row r="102" spans="2:9" s="656" customFormat="1" ht="34.5" customHeight="1">
      <c r="B102" s="643" t="s">
        <v>760</v>
      </c>
      <c r="C102" s="641"/>
      <c r="D102" s="644" t="s">
        <v>759</v>
      </c>
      <c r="E102" s="629"/>
      <c r="F102" s="629"/>
      <c r="G102" s="629"/>
      <c r="H102" s="629">
        <v>3090</v>
      </c>
      <c r="I102" s="629">
        <v>3090</v>
      </c>
    </row>
    <row r="103" spans="2:9" s="656" customFormat="1" ht="34.5" customHeight="1">
      <c r="B103" s="643" t="s">
        <v>758</v>
      </c>
      <c r="C103" s="641"/>
      <c r="D103" s="644" t="s">
        <v>757</v>
      </c>
      <c r="E103" s="629"/>
      <c r="F103" s="629"/>
      <c r="G103" s="629"/>
      <c r="H103" s="629">
        <v>17180</v>
      </c>
      <c r="I103" s="629">
        <v>17180</v>
      </c>
    </row>
    <row r="104" spans="2:9" s="656" customFormat="1" ht="34.5" customHeight="1">
      <c r="B104" s="643" t="s">
        <v>756</v>
      </c>
      <c r="C104" s="641"/>
      <c r="D104" s="644" t="s">
        <v>755</v>
      </c>
      <c r="E104" s="629">
        <v>8210</v>
      </c>
      <c r="F104" s="629"/>
      <c r="G104" s="629"/>
      <c r="H104" s="629"/>
      <c r="I104" s="629">
        <v>54480</v>
      </c>
    </row>
    <row r="105" spans="2:9" s="656" customFormat="1" ht="34.5" customHeight="1">
      <c r="B105" s="632" t="s">
        <v>754</v>
      </c>
      <c r="C105" s="631"/>
      <c r="D105" s="645" t="s">
        <v>753</v>
      </c>
      <c r="E105" s="629">
        <v>20000</v>
      </c>
      <c r="F105" s="629"/>
      <c r="G105" s="629"/>
      <c r="H105" s="629">
        <v>349006</v>
      </c>
      <c r="I105" s="629">
        <v>554350</v>
      </c>
    </row>
    <row r="106" spans="2:9" s="656" customFormat="1" ht="34.5" customHeight="1">
      <c r="B106" s="632" t="s">
        <v>752</v>
      </c>
      <c r="C106" s="631"/>
      <c r="D106" s="645" t="s">
        <v>751</v>
      </c>
      <c r="E106" s="629"/>
      <c r="F106" s="629"/>
      <c r="G106" s="629"/>
      <c r="H106" s="629">
        <v>12000</v>
      </c>
      <c r="I106" s="629">
        <v>16260</v>
      </c>
    </row>
    <row r="107" spans="2:9" s="656" customFormat="1" ht="34.5" customHeight="1">
      <c r="B107" s="632" t="s">
        <v>750</v>
      </c>
      <c r="C107" s="631"/>
      <c r="D107" s="657" t="s">
        <v>749</v>
      </c>
      <c r="E107" s="629"/>
      <c r="F107" s="629"/>
      <c r="G107" s="629"/>
      <c r="H107" s="629"/>
      <c r="I107" s="629">
        <v>15000</v>
      </c>
    </row>
    <row r="108" spans="2:9" s="656" customFormat="1" ht="34.5" customHeight="1">
      <c r="B108" s="597" t="s">
        <v>748</v>
      </c>
      <c r="C108" s="631"/>
      <c r="D108" s="657" t="s">
        <v>747</v>
      </c>
      <c r="E108" s="629"/>
      <c r="F108" s="629"/>
      <c r="G108" s="629"/>
      <c r="H108" s="629"/>
      <c r="I108" s="629">
        <v>9770</v>
      </c>
    </row>
    <row r="109" spans="2:9" s="656" customFormat="1" ht="34.5" customHeight="1">
      <c r="B109" s="643" t="s">
        <v>746</v>
      </c>
      <c r="C109" s="641"/>
      <c r="D109" s="640" t="s">
        <v>745</v>
      </c>
      <c r="E109" s="638"/>
      <c r="F109" s="638">
        <v>150</v>
      </c>
      <c r="G109" s="638"/>
      <c r="H109" s="638"/>
      <c r="I109" s="638">
        <v>36695</v>
      </c>
    </row>
    <row r="110" spans="2:9" s="656" customFormat="1" ht="34.5" customHeight="1">
      <c r="B110" s="632" t="s">
        <v>744</v>
      </c>
      <c r="C110" s="631"/>
      <c r="D110" s="630" t="s">
        <v>743</v>
      </c>
      <c r="E110" s="629">
        <v>15500</v>
      </c>
      <c r="F110" s="629">
        <v>8000</v>
      </c>
      <c r="G110" s="629"/>
      <c r="H110" s="629">
        <v>100</v>
      </c>
      <c r="I110" s="629">
        <v>40645</v>
      </c>
    </row>
    <row r="111" spans="2:9" s="656" customFormat="1" ht="34.5" customHeight="1">
      <c r="B111" s="632" t="s">
        <v>742</v>
      </c>
      <c r="C111" s="631"/>
      <c r="D111" s="630" t="s">
        <v>741</v>
      </c>
      <c r="E111" s="629"/>
      <c r="F111" s="629"/>
      <c r="G111" s="629"/>
      <c r="H111" s="629">
        <v>37100</v>
      </c>
      <c r="I111" s="629">
        <v>37100</v>
      </c>
    </row>
    <row r="112" spans="2:9" s="656" customFormat="1" ht="34.5" customHeight="1">
      <c r="B112" s="632" t="s">
        <v>740</v>
      </c>
      <c r="C112" s="631"/>
      <c r="D112" s="630" t="s">
        <v>739</v>
      </c>
      <c r="E112" s="629"/>
      <c r="F112" s="629"/>
      <c r="G112" s="629"/>
      <c r="H112" s="629"/>
      <c r="I112" s="629">
        <v>1654760</v>
      </c>
    </row>
    <row r="113" spans="1:9" s="656" customFormat="1" ht="34.5" customHeight="1">
      <c r="A113" s="678"/>
      <c r="B113" s="632" t="s">
        <v>738</v>
      </c>
      <c r="C113" s="631"/>
      <c r="D113" s="630" t="s">
        <v>737</v>
      </c>
      <c r="E113" s="629"/>
      <c r="F113" s="629"/>
      <c r="G113" s="629"/>
      <c r="H113" s="629"/>
      <c r="I113" s="629">
        <v>38000</v>
      </c>
    </row>
    <row r="114" spans="1:9" s="656" customFormat="1" ht="34.5" customHeight="1">
      <c r="B114" s="632" t="s">
        <v>736</v>
      </c>
      <c r="C114" s="631"/>
      <c r="D114" s="630" t="s">
        <v>735</v>
      </c>
      <c r="E114" s="629"/>
      <c r="F114" s="629"/>
      <c r="G114" s="629"/>
      <c r="H114" s="629">
        <v>39800</v>
      </c>
      <c r="I114" s="629">
        <v>349420</v>
      </c>
    </row>
    <row r="115" spans="1:9" s="656" customFormat="1" ht="34.5" customHeight="1">
      <c r="B115" s="632" t="s">
        <v>734</v>
      </c>
      <c r="C115" s="631"/>
      <c r="D115" s="630" t="s">
        <v>733</v>
      </c>
      <c r="E115" s="629"/>
      <c r="F115" s="629"/>
      <c r="G115" s="629"/>
      <c r="H115" s="629"/>
      <c r="I115" s="629">
        <v>547000</v>
      </c>
    </row>
    <row r="116" spans="1:9" s="656" customFormat="1" ht="34.5" customHeight="1">
      <c r="B116" s="632" t="s">
        <v>732</v>
      </c>
      <c r="C116" s="631"/>
      <c r="D116" s="630" t="s">
        <v>731</v>
      </c>
      <c r="E116" s="629"/>
      <c r="F116" s="629"/>
      <c r="G116" s="629"/>
      <c r="H116" s="629">
        <v>43000</v>
      </c>
      <c r="I116" s="629">
        <v>87130</v>
      </c>
    </row>
    <row r="117" spans="1:9" s="656" customFormat="1" ht="34.5" customHeight="1">
      <c r="B117" s="632" t="s">
        <v>730</v>
      </c>
      <c r="C117" s="631"/>
      <c r="D117" s="630" t="s">
        <v>729</v>
      </c>
      <c r="E117" s="629"/>
      <c r="F117" s="629"/>
      <c r="G117" s="629"/>
      <c r="H117" s="629"/>
      <c r="I117" s="629">
        <v>46086</v>
      </c>
    </row>
    <row r="118" spans="1:9" s="656" customFormat="1" ht="34.5" customHeight="1">
      <c r="B118" s="662" t="s">
        <v>728</v>
      </c>
      <c r="C118" s="631"/>
      <c r="D118" s="645" t="s">
        <v>727</v>
      </c>
      <c r="E118" s="629"/>
      <c r="F118" s="629"/>
      <c r="G118" s="629"/>
      <c r="H118" s="629">
        <v>60010</v>
      </c>
      <c r="I118" s="629">
        <v>277348</v>
      </c>
    </row>
    <row r="119" spans="1:9" s="656" customFormat="1" ht="34.5" customHeight="1">
      <c r="B119" s="632" t="s">
        <v>726</v>
      </c>
      <c r="C119" s="631"/>
      <c r="D119" s="645" t="s">
        <v>725</v>
      </c>
      <c r="E119" s="629"/>
      <c r="F119" s="629"/>
      <c r="G119" s="629"/>
      <c r="H119" s="629">
        <v>3500</v>
      </c>
      <c r="I119" s="629">
        <v>16225</v>
      </c>
    </row>
    <row r="120" spans="1:9" s="656" customFormat="1" ht="34.5" customHeight="1">
      <c r="B120" s="632" t="s">
        <v>724</v>
      </c>
      <c r="C120" s="631"/>
      <c r="D120" s="645" t="s">
        <v>723</v>
      </c>
      <c r="E120" s="629"/>
      <c r="F120" s="629"/>
      <c r="G120" s="629"/>
      <c r="H120" s="629"/>
      <c r="I120" s="629">
        <v>7190</v>
      </c>
    </row>
    <row r="121" spans="1:9" s="656" customFormat="1" ht="34.5" customHeight="1">
      <c r="B121" s="632" t="s">
        <v>722</v>
      </c>
      <c r="C121" s="631"/>
      <c r="D121" s="645" t="s">
        <v>721</v>
      </c>
      <c r="E121" s="629"/>
      <c r="F121" s="629"/>
      <c r="G121" s="629"/>
      <c r="H121" s="629">
        <v>1710</v>
      </c>
      <c r="I121" s="629">
        <v>11930</v>
      </c>
    </row>
    <row r="122" spans="1:9" s="656" customFormat="1" ht="34.5" customHeight="1">
      <c r="B122" s="632" t="s">
        <v>720</v>
      </c>
      <c r="C122" s="631"/>
      <c r="D122" s="630" t="s">
        <v>719</v>
      </c>
      <c r="E122" s="629"/>
      <c r="F122" s="629"/>
      <c r="G122" s="629"/>
      <c r="H122" s="629"/>
      <c r="I122" s="629">
        <v>1800000</v>
      </c>
    </row>
    <row r="123" spans="1:9" s="652" customFormat="1" ht="30" customHeight="1">
      <c r="B123" s="635" t="s">
        <v>718</v>
      </c>
      <c r="C123" s="655"/>
      <c r="D123" s="658"/>
      <c r="E123" s="653"/>
      <c r="F123" s="653"/>
      <c r="G123" s="653"/>
      <c r="H123" s="853">
        <v>77735</v>
      </c>
      <c r="I123" s="854"/>
    </row>
    <row r="124" spans="1:9" s="656" customFormat="1" ht="34.5" customHeight="1">
      <c r="B124" s="632" t="str">
        <f>"若年者等就業支援事業"</f>
        <v>若年者等就業支援事業</v>
      </c>
      <c r="C124" s="631"/>
      <c r="D124" s="630" t="s">
        <v>717</v>
      </c>
      <c r="E124" s="629"/>
      <c r="F124" s="629"/>
      <c r="G124" s="629"/>
      <c r="H124" s="629"/>
      <c r="I124" s="629">
        <v>3900</v>
      </c>
    </row>
    <row r="125" spans="1:9" s="656" customFormat="1" ht="34.5" customHeight="1">
      <c r="B125" s="632" t="s">
        <v>716</v>
      </c>
      <c r="C125" s="631"/>
      <c r="D125" s="630" t="s">
        <v>715</v>
      </c>
      <c r="E125" s="629"/>
      <c r="F125" s="629"/>
      <c r="G125" s="629"/>
      <c r="H125" s="629"/>
      <c r="I125" s="629">
        <v>13850</v>
      </c>
    </row>
    <row r="126" spans="1:9" s="656" customFormat="1" ht="34.5" customHeight="1">
      <c r="B126" s="632" t="s">
        <v>714</v>
      </c>
      <c r="C126" s="597"/>
      <c r="D126" s="630" t="s">
        <v>713</v>
      </c>
      <c r="E126" s="597"/>
      <c r="F126" s="597"/>
      <c r="G126" s="597"/>
      <c r="H126" s="661"/>
      <c r="I126" s="660">
        <v>1500</v>
      </c>
    </row>
    <row r="127" spans="1:9" s="652" customFormat="1" ht="30" customHeight="1">
      <c r="B127" s="635" t="s">
        <v>712</v>
      </c>
      <c r="C127" s="655"/>
      <c r="D127" s="658"/>
      <c r="E127" s="653"/>
      <c r="F127" s="653"/>
      <c r="G127" s="653"/>
      <c r="H127" s="853">
        <v>633315</v>
      </c>
      <c r="I127" s="854"/>
    </row>
    <row r="128" spans="1:9" s="656" customFormat="1" ht="34.5" customHeight="1">
      <c r="B128" s="659" t="s">
        <v>711</v>
      </c>
      <c r="C128" s="631"/>
      <c r="D128" s="630" t="s">
        <v>710</v>
      </c>
      <c r="E128" s="597"/>
      <c r="F128" s="629"/>
      <c r="G128" s="597"/>
      <c r="H128" s="629">
        <v>6200</v>
      </c>
      <c r="I128" s="629">
        <v>8644</v>
      </c>
    </row>
    <row r="129" spans="2:9" s="656" customFormat="1" ht="34.5" customHeight="1">
      <c r="B129" s="632" t="s">
        <v>709</v>
      </c>
      <c r="C129" s="631"/>
      <c r="D129" s="645" t="s">
        <v>708</v>
      </c>
      <c r="E129" s="629"/>
      <c r="F129" s="629"/>
      <c r="G129" s="629"/>
      <c r="H129" s="629">
        <v>4200</v>
      </c>
      <c r="I129" s="629">
        <v>48720</v>
      </c>
    </row>
    <row r="130" spans="2:9" s="656" customFormat="1" ht="34.5" hidden="1" customHeight="1">
      <c r="B130" s="632" t="s">
        <v>706</v>
      </c>
      <c r="C130" s="631"/>
      <c r="D130" s="645" t="s">
        <v>707</v>
      </c>
      <c r="E130" s="629"/>
      <c r="F130" s="629"/>
      <c r="G130" s="629"/>
      <c r="H130" s="629"/>
      <c r="I130" s="629">
        <v>2570</v>
      </c>
    </row>
    <row r="131" spans="2:9" s="656" customFormat="1" ht="34.5" customHeight="1">
      <c r="B131" s="597" t="s">
        <v>706</v>
      </c>
      <c r="C131" s="631"/>
      <c r="D131" s="645" t="s">
        <v>705</v>
      </c>
      <c r="E131" s="629"/>
      <c r="F131" s="629"/>
      <c r="G131" s="629"/>
      <c r="H131" s="629"/>
      <c r="I131" s="629">
        <v>3550</v>
      </c>
    </row>
    <row r="132" spans="2:9" s="656" customFormat="1" ht="52.5" customHeight="1">
      <c r="B132" s="597" t="s">
        <v>704</v>
      </c>
      <c r="C132" s="631"/>
      <c r="D132" s="645" t="s">
        <v>703</v>
      </c>
      <c r="E132" s="629"/>
      <c r="F132" s="629"/>
      <c r="G132" s="629"/>
      <c r="H132" s="629"/>
      <c r="I132" s="629">
        <v>1290</v>
      </c>
    </row>
    <row r="133" spans="2:9" s="656" customFormat="1" ht="34.5" customHeight="1">
      <c r="B133" s="597" t="s">
        <v>702</v>
      </c>
      <c r="C133" s="631"/>
      <c r="D133" s="645" t="s">
        <v>701</v>
      </c>
      <c r="E133" s="629"/>
      <c r="F133" s="629"/>
      <c r="G133" s="629"/>
      <c r="H133" s="629"/>
      <c r="I133" s="629">
        <v>11870</v>
      </c>
    </row>
    <row r="134" spans="2:9" s="656" customFormat="1" ht="79.5" customHeight="1">
      <c r="B134" s="632" t="s">
        <v>700</v>
      </c>
      <c r="C134" s="631"/>
      <c r="D134" s="645" t="s">
        <v>699</v>
      </c>
      <c r="E134" s="629"/>
      <c r="F134" s="629"/>
      <c r="G134" s="629">
        <v>7200</v>
      </c>
      <c r="H134" s="629"/>
      <c r="I134" s="629">
        <v>48930</v>
      </c>
    </row>
    <row r="135" spans="2:9" s="656" customFormat="1" ht="34.5" customHeight="1">
      <c r="B135" s="632" t="s">
        <v>698</v>
      </c>
      <c r="C135" s="631"/>
      <c r="D135" s="645" t="s">
        <v>697</v>
      </c>
      <c r="E135" s="629"/>
      <c r="F135" s="629"/>
      <c r="G135" s="629">
        <v>5900</v>
      </c>
      <c r="H135" s="629"/>
      <c r="I135" s="629">
        <v>6970</v>
      </c>
    </row>
    <row r="136" spans="2:9" s="656" customFormat="1" ht="34.5" customHeight="1">
      <c r="B136" s="632" t="str">
        <f>"かんがい排水整備事業"</f>
        <v>かんがい排水整備事業</v>
      </c>
      <c r="C136" s="631"/>
      <c r="D136" s="630" t="s">
        <v>696</v>
      </c>
      <c r="E136" s="629"/>
      <c r="F136" s="629">
        <v>55900</v>
      </c>
      <c r="G136" s="629">
        <v>80800</v>
      </c>
      <c r="H136" s="629">
        <v>33210</v>
      </c>
      <c r="I136" s="629">
        <v>194100</v>
      </c>
    </row>
    <row r="137" spans="2:9" s="652" customFormat="1" ht="30" customHeight="1">
      <c r="B137" s="635" t="s">
        <v>695</v>
      </c>
      <c r="C137" s="655"/>
      <c r="D137" s="658"/>
      <c r="E137" s="653"/>
      <c r="F137" s="653"/>
      <c r="G137" s="653"/>
      <c r="H137" s="853">
        <v>492611</v>
      </c>
      <c r="I137" s="854"/>
    </row>
    <row r="138" spans="2:9" s="656" customFormat="1" ht="79.5" customHeight="1">
      <c r="B138" s="632" t="s">
        <v>694</v>
      </c>
      <c r="C138" s="631"/>
      <c r="D138" s="645" t="s">
        <v>693</v>
      </c>
      <c r="E138" s="629"/>
      <c r="F138" s="629"/>
      <c r="G138" s="629"/>
      <c r="H138" s="629">
        <v>1490</v>
      </c>
      <c r="I138" s="629">
        <v>37200</v>
      </c>
    </row>
    <row r="139" spans="2:9" s="656" customFormat="1" ht="79.5" customHeight="1">
      <c r="B139" s="632" t="s">
        <v>692</v>
      </c>
      <c r="C139" s="631"/>
      <c r="D139" s="630" t="s">
        <v>691</v>
      </c>
      <c r="E139" s="629"/>
      <c r="F139" s="629">
        <v>3300</v>
      </c>
      <c r="G139" s="629"/>
      <c r="H139" s="629"/>
      <c r="I139" s="629">
        <v>13000</v>
      </c>
    </row>
    <row r="140" spans="2:9" s="656" customFormat="1" ht="34.5" customHeight="1">
      <c r="B140" s="632" t="s">
        <v>690</v>
      </c>
      <c r="C140" s="631"/>
      <c r="D140" s="630" t="s">
        <v>689</v>
      </c>
      <c r="E140" s="629"/>
      <c r="F140" s="629"/>
      <c r="G140" s="629"/>
      <c r="H140" s="629"/>
      <c r="I140" s="629">
        <v>14000</v>
      </c>
    </row>
    <row r="141" spans="2:9" s="656" customFormat="1" ht="34.5" customHeight="1">
      <c r="B141" s="632" t="s">
        <v>688</v>
      </c>
      <c r="C141" s="631"/>
      <c r="D141" s="630" t="s">
        <v>687</v>
      </c>
      <c r="E141" s="629"/>
      <c r="F141" s="629"/>
      <c r="G141" s="629"/>
      <c r="H141" s="629"/>
      <c r="I141" s="629">
        <v>10690</v>
      </c>
    </row>
    <row r="142" spans="2:9" s="656" customFormat="1" ht="34.5" customHeight="1">
      <c r="B142" s="632" t="s">
        <v>686</v>
      </c>
      <c r="C142" s="631"/>
      <c r="D142" s="630" t="s">
        <v>685</v>
      </c>
      <c r="E142" s="629"/>
      <c r="F142" s="629"/>
      <c r="G142" s="629"/>
      <c r="H142" s="629"/>
      <c r="I142" s="629">
        <v>3200</v>
      </c>
    </row>
    <row r="143" spans="2:9" s="656" customFormat="1" ht="34.5" customHeight="1">
      <c r="B143" s="632" t="s">
        <v>684</v>
      </c>
      <c r="C143" s="631"/>
      <c r="D143" s="630" t="s">
        <v>683</v>
      </c>
      <c r="E143" s="629"/>
      <c r="F143" s="629"/>
      <c r="G143" s="629"/>
      <c r="H143" s="629"/>
      <c r="I143" s="629">
        <v>650</v>
      </c>
    </row>
    <row r="144" spans="2:9" s="656" customFormat="1" ht="34.5" customHeight="1">
      <c r="B144" s="632" t="s">
        <v>682</v>
      </c>
      <c r="C144" s="631"/>
      <c r="D144" s="630" t="s">
        <v>681</v>
      </c>
      <c r="E144" s="629"/>
      <c r="F144" s="629"/>
      <c r="G144" s="629"/>
      <c r="H144" s="629">
        <v>96010</v>
      </c>
      <c r="I144" s="629">
        <v>103600</v>
      </c>
    </row>
    <row r="145" spans="2:9" s="656" customFormat="1" ht="87" customHeight="1">
      <c r="B145" s="632" t="s">
        <v>680</v>
      </c>
      <c r="C145" s="631"/>
      <c r="D145" s="630" t="s">
        <v>679</v>
      </c>
      <c r="E145" s="629"/>
      <c r="F145" s="629"/>
      <c r="G145" s="629"/>
      <c r="H145" s="629"/>
      <c r="I145" s="629">
        <v>35500</v>
      </c>
    </row>
    <row r="146" spans="2:9" s="656" customFormat="1" ht="34.5" customHeight="1">
      <c r="B146" s="632" t="str">
        <f>"観光推進事業"</f>
        <v>観光推進事業</v>
      </c>
      <c r="C146" s="631"/>
      <c r="D146" s="657" t="s">
        <v>678</v>
      </c>
      <c r="E146" s="629"/>
      <c r="F146" s="629"/>
      <c r="G146" s="629"/>
      <c r="H146" s="629">
        <v>2000</v>
      </c>
      <c r="I146" s="629">
        <v>74250</v>
      </c>
    </row>
    <row r="147" spans="2:9" s="656" customFormat="1" ht="30" customHeight="1">
      <c r="B147" s="635" t="s">
        <v>677</v>
      </c>
      <c r="C147" s="634"/>
      <c r="D147" s="633"/>
      <c r="E147" s="626"/>
      <c r="F147" s="626"/>
      <c r="G147" s="626"/>
      <c r="H147" s="853">
        <v>9770890</v>
      </c>
      <c r="I147" s="854"/>
    </row>
    <row r="148" spans="2:9" s="656" customFormat="1" ht="34.5" customHeight="1">
      <c r="B148" s="632" t="str">
        <f>"道路施設等維持管理費"</f>
        <v>道路施設等維持管理費</v>
      </c>
      <c r="C148" s="631"/>
      <c r="D148" s="630" t="s">
        <v>676</v>
      </c>
      <c r="E148" s="636"/>
      <c r="F148" s="636"/>
      <c r="G148" s="636"/>
      <c r="H148" s="636"/>
      <c r="I148" s="629">
        <v>441300</v>
      </c>
    </row>
    <row r="149" spans="2:9" s="656" customFormat="1" ht="34.5" customHeight="1">
      <c r="B149" s="632" t="str">
        <f>"道路舗装事業"</f>
        <v>道路舗装事業</v>
      </c>
      <c r="C149" s="631"/>
      <c r="D149" s="630" t="s">
        <v>675</v>
      </c>
      <c r="E149" s="636">
        <v>170000</v>
      </c>
      <c r="F149" s="636"/>
      <c r="G149" s="636">
        <v>208800</v>
      </c>
      <c r="H149" s="636"/>
      <c r="I149" s="629">
        <v>404000</v>
      </c>
    </row>
    <row r="150" spans="2:9" s="656" customFormat="1" ht="34.5" customHeight="1">
      <c r="B150" s="632" t="str">
        <f>"道路改良事業"</f>
        <v>道路改良事業</v>
      </c>
      <c r="C150" s="631"/>
      <c r="D150" s="630" t="s">
        <v>674</v>
      </c>
      <c r="E150" s="636">
        <v>38100</v>
      </c>
      <c r="F150" s="636"/>
      <c r="G150" s="636">
        <v>34200</v>
      </c>
      <c r="H150" s="636"/>
      <c r="I150" s="629">
        <v>137300</v>
      </c>
    </row>
    <row r="151" spans="2:9" s="656" customFormat="1" ht="34.5" customHeight="1">
      <c r="B151" s="632" t="s">
        <v>673</v>
      </c>
      <c r="C151" s="631"/>
      <c r="D151" s="630" t="s">
        <v>672</v>
      </c>
      <c r="E151" s="636">
        <v>1900</v>
      </c>
      <c r="F151" s="636"/>
      <c r="G151" s="636">
        <v>1400</v>
      </c>
      <c r="H151" s="636">
        <v>35000</v>
      </c>
      <c r="I151" s="629">
        <v>56100</v>
      </c>
    </row>
    <row r="152" spans="2:9" s="656" customFormat="1" ht="34.5" customHeight="1">
      <c r="B152" s="632" t="s">
        <v>671</v>
      </c>
      <c r="C152" s="631"/>
      <c r="D152" s="630" t="s">
        <v>670</v>
      </c>
      <c r="E152" s="636"/>
      <c r="F152" s="636"/>
      <c r="G152" s="636"/>
      <c r="H152" s="636"/>
      <c r="I152" s="629">
        <v>50</v>
      </c>
    </row>
    <row r="153" spans="2:9" s="656" customFormat="1" ht="34.5" customHeight="1">
      <c r="B153" s="632" t="s">
        <v>669</v>
      </c>
      <c r="C153" s="631"/>
      <c r="D153" s="630" t="s">
        <v>668</v>
      </c>
      <c r="E153" s="636"/>
      <c r="F153" s="636"/>
      <c r="G153" s="636">
        <v>12600</v>
      </c>
      <c r="H153" s="636"/>
      <c r="I153" s="629">
        <v>25250</v>
      </c>
    </row>
    <row r="154" spans="2:9" s="656" customFormat="1" ht="34.5" customHeight="1">
      <c r="B154" s="632" t="s">
        <v>667</v>
      </c>
      <c r="C154" s="631"/>
      <c r="D154" s="630" t="s">
        <v>666</v>
      </c>
      <c r="E154" s="636">
        <v>12100</v>
      </c>
      <c r="F154" s="636"/>
      <c r="G154" s="636"/>
      <c r="H154" s="636"/>
      <c r="I154" s="629">
        <v>22000</v>
      </c>
    </row>
    <row r="155" spans="2:9" s="656" customFormat="1" ht="54.75" customHeight="1">
      <c r="B155" s="632" t="s">
        <v>665</v>
      </c>
      <c r="C155" s="631"/>
      <c r="D155" s="630" t="s">
        <v>664</v>
      </c>
      <c r="E155" s="636"/>
      <c r="F155" s="636"/>
      <c r="G155" s="636"/>
      <c r="H155" s="636"/>
      <c r="I155" s="629">
        <v>6000</v>
      </c>
    </row>
    <row r="156" spans="2:9" s="656" customFormat="1" ht="34.5" customHeight="1">
      <c r="B156" s="632" t="s">
        <v>663</v>
      </c>
      <c r="C156" s="631"/>
      <c r="D156" s="630" t="s">
        <v>662</v>
      </c>
      <c r="E156" s="636">
        <v>10000</v>
      </c>
      <c r="F156" s="636"/>
      <c r="G156" s="636">
        <v>12000</v>
      </c>
      <c r="H156" s="636">
        <v>30</v>
      </c>
      <c r="I156" s="629">
        <v>167200</v>
      </c>
    </row>
    <row r="157" spans="2:9" s="656" customFormat="1" ht="34.5" customHeight="1">
      <c r="B157" s="632" t="s">
        <v>661</v>
      </c>
      <c r="C157" s="631"/>
      <c r="D157" s="630" t="s">
        <v>660</v>
      </c>
      <c r="E157" s="636"/>
      <c r="F157" s="636"/>
      <c r="G157" s="636"/>
      <c r="H157" s="636"/>
      <c r="I157" s="629">
        <v>9000</v>
      </c>
    </row>
    <row r="158" spans="2:9" s="656" customFormat="1" ht="34.5" customHeight="1">
      <c r="B158" s="632" t="s">
        <v>659</v>
      </c>
      <c r="C158" s="631"/>
      <c r="D158" s="630" t="s">
        <v>658</v>
      </c>
      <c r="E158" s="636">
        <v>70900</v>
      </c>
      <c r="F158" s="636"/>
      <c r="G158" s="636">
        <v>30700</v>
      </c>
      <c r="H158" s="636"/>
      <c r="I158" s="629">
        <v>130500</v>
      </c>
    </row>
    <row r="159" spans="2:9" s="656" customFormat="1" ht="34.5" customHeight="1">
      <c r="B159" s="632" t="s">
        <v>657</v>
      </c>
      <c r="C159" s="631"/>
      <c r="D159" s="630" t="s">
        <v>656</v>
      </c>
      <c r="E159" s="636">
        <v>146000</v>
      </c>
      <c r="F159" s="636"/>
      <c r="G159" s="636">
        <v>107600</v>
      </c>
      <c r="H159" s="636"/>
      <c r="I159" s="629">
        <v>267000</v>
      </c>
    </row>
    <row r="160" spans="2:9" s="656" customFormat="1" ht="34.5" customHeight="1">
      <c r="B160" s="632" t="s">
        <v>655</v>
      </c>
      <c r="C160" s="631"/>
      <c r="D160" s="630" t="s">
        <v>654</v>
      </c>
      <c r="E160" s="636"/>
      <c r="F160" s="636"/>
      <c r="G160" s="636">
        <v>44500</v>
      </c>
      <c r="H160" s="636"/>
      <c r="I160" s="629">
        <v>59940</v>
      </c>
    </row>
    <row r="161" spans="1:9" s="656" customFormat="1" ht="34.5" customHeight="1">
      <c r="B161" s="632" t="s">
        <v>653</v>
      </c>
      <c r="C161" s="631"/>
      <c r="D161" s="630" t="s">
        <v>652</v>
      </c>
      <c r="E161" s="636"/>
      <c r="F161" s="636"/>
      <c r="G161" s="636">
        <v>108000</v>
      </c>
      <c r="H161" s="636">
        <v>250</v>
      </c>
      <c r="I161" s="629">
        <v>285090</v>
      </c>
    </row>
    <row r="162" spans="1:9" s="656" customFormat="1" ht="34.5" customHeight="1">
      <c r="B162" s="632" t="s">
        <v>651</v>
      </c>
      <c r="C162" s="631"/>
      <c r="D162" s="630" t="s">
        <v>650</v>
      </c>
      <c r="E162" s="636"/>
      <c r="F162" s="636"/>
      <c r="G162" s="636">
        <v>18000</v>
      </c>
      <c r="H162" s="636"/>
      <c r="I162" s="629">
        <v>20000</v>
      </c>
    </row>
    <row r="163" spans="1:9" s="656" customFormat="1" ht="34.5" customHeight="1">
      <c r="B163" s="632" t="s">
        <v>649</v>
      </c>
      <c r="C163" s="631"/>
      <c r="D163" s="630" t="s">
        <v>648</v>
      </c>
      <c r="E163" s="636"/>
      <c r="F163" s="636"/>
      <c r="G163" s="636">
        <v>170000</v>
      </c>
      <c r="H163" s="636"/>
      <c r="I163" s="629">
        <v>171040</v>
      </c>
    </row>
    <row r="164" spans="1:9" s="656" customFormat="1" ht="34.5" customHeight="1">
      <c r="B164" s="632" t="s">
        <v>647</v>
      </c>
      <c r="C164" s="631"/>
      <c r="D164" s="630" t="s">
        <v>646</v>
      </c>
      <c r="E164" s="636"/>
      <c r="F164" s="636"/>
      <c r="G164" s="636">
        <v>150000</v>
      </c>
      <c r="H164" s="636"/>
      <c r="I164" s="629">
        <v>150000</v>
      </c>
    </row>
    <row r="165" spans="1:9" s="656" customFormat="1" ht="54.75" customHeight="1">
      <c r="B165" s="632" t="s">
        <v>645</v>
      </c>
      <c r="C165" s="631"/>
      <c r="D165" s="630" t="s">
        <v>644</v>
      </c>
      <c r="E165" s="636"/>
      <c r="F165" s="636"/>
      <c r="G165" s="636">
        <v>450000</v>
      </c>
      <c r="H165" s="636"/>
      <c r="I165" s="629">
        <v>474900</v>
      </c>
    </row>
    <row r="166" spans="1:9" s="656" customFormat="1" ht="34.5" customHeight="1">
      <c r="B166" s="632" t="s">
        <v>643</v>
      </c>
      <c r="C166" s="631"/>
      <c r="D166" s="630" t="s">
        <v>642</v>
      </c>
      <c r="E166" s="636"/>
      <c r="F166" s="636"/>
      <c r="G166" s="636"/>
      <c r="H166" s="636"/>
      <c r="I166" s="629">
        <v>3000</v>
      </c>
    </row>
    <row r="167" spans="1:9" s="656" customFormat="1" ht="42" customHeight="1">
      <c r="B167" s="632" t="s">
        <v>641</v>
      </c>
      <c r="C167" s="631"/>
      <c r="D167" s="630" t="s">
        <v>640</v>
      </c>
      <c r="E167" s="636">
        <v>6000</v>
      </c>
      <c r="F167" s="636"/>
      <c r="G167" s="636"/>
      <c r="H167" s="636"/>
      <c r="I167" s="629">
        <v>13000</v>
      </c>
    </row>
    <row r="168" spans="1:9" s="656" customFormat="1" ht="34.5" customHeight="1">
      <c r="B168" s="632" t="s">
        <v>639</v>
      </c>
      <c r="C168" s="631"/>
      <c r="D168" s="630" t="s">
        <v>638</v>
      </c>
      <c r="E168" s="636"/>
      <c r="F168" s="636">
        <v>6100</v>
      </c>
      <c r="G168" s="636"/>
      <c r="H168" s="636">
        <v>1180</v>
      </c>
      <c r="I168" s="629">
        <v>16746</v>
      </c>
    </row>
    <row r="169" spans="1:9" s="656" customFormat="1" ht="34.5" customHeight="1">
      <c r="B169" s="597" t="s">
        <v>637</v>
      </c>
      <c r="C169" s="631"/>
      <c r="D169" s="630" t="s">
        <v>636</v>
      </c>
      <c r="E169" s="636"/>
      <c r="F169" s="636"/>
      <c r="G169" s="636"/>
      <c r="H169" s="636"/>
      <c r="I169" s="629">
        <v>43000</v>
      </c>
    </row>
    <row r="170" spans="1:9" s="656" customFormat="1" ht="79.5" customHeight="1">
      <c r="B170" s="632" t="s">
        <v>635</v>
      </c>
      <c r="C170" s="631"/>
      <c r="D170" s="630" t="s">
        <v>634</v>
      </c>
      <c r="E170" s="636"/>
      <c r="F170" s="636"/>
      <c r="G170" s="636"/>
      <c r="H170" s="636">
        <v>800</v>
      </c>
      <c r="I170" s="629">
        <v>355230</v>
      </c>
    </row>
    <row r="171" spans="1:9" s="656" customFormat="1" ht="34.5" customHeight="1">
      <c r="B171" s="632" t="str">
        <f>"土地区画整理会計繰出金"</f>
        <v>土地区画整理会計繰出金</v>
      </c>
      <c r="C171" s="631"/>
      <c r="D171" s="630" t="s">
        <v>633</v>
      </c>
      <c r="E171" s="636"/>
      <c r="F171" s="636"/>
      <c r="G171" s="636"/>
      <c r="H171" s="636"/>
      <c r="I171" s="629">
        <v>726000</v>
      </c>
    </row>
    <row r="172" spans="1:9" s="656" customFormat="1" ht="34.5" customHeight="1">
      <c r="B172" s="632" t="s">
        <v>632</v>
      </c>
      <c r="C172" s="631"/>
      <c r="D172" s="630" t="s">
        <v>631</v>
      </c>
      <c r="E172" s="636">
        <v>121000</v>
      </c>
      <c r="F172" s="636"/>
      <c r="G172" s="636">
        <v>89100</v>
      </c>
      <c r="H172" s="636"/>
      <c r="I172" s="629">
        <v>233500</v>
      </c>
    </row>
    <row r="173" spans="1:9" s="656" customFormat="1" ht="34.5" customHeight="1">
      <c r="B173" s="632" t="s">
        <v>630</v>
      </c>
      <c r="C173" s="631"/>
      <c r="D173" s="630" t="s">
        <v>629</v>
      </c>
      <c r="E173" s="636"/>
      <c r="F173" s="636"/>
      <c r="G173" s="636"/>
      <c r="H173" s="636"/>
      <c r="I173" s="629">
        <v>2800</v>
      </c>
    </row>
    <row r="174" spans="1:9" s="656" customFormat="1" ht="34.5" customHeight="1">
      <c r="B174" s="597" t="s">
        <v>628</v>
      </c>
      <c r="C174" s="631"/>
      <c r="D174" s="630" t="s">
        <v>627</v>
      </c>
      <c r="E174" s="636">
        <v>86200</v>
      </c>
      <c r="F174" s="636"/>
      <c r="G174" s="636">
        <v>67700</v>
      </c>
      <c r="H174" s="636"/>
      <c r="I174" s="629">
        <v>190900</v>
      </c>
    </row>
    <row r="175" spans="1:9" ht="34.5" customHeight="1">
      <c r="A175" s="656"/>
      <c r="B175" s="632" t="s">
        <v>626</v>
      </c>
      <c r="C175" s="631"/>
      <c r="D175" s="630" t="s">
        <v>625</v>
      </c>
      <c r="E175" s="636">
        <v>10000</v>
      </c>
      <c r="F175" s="636"/>
      <c r="G175" s="636"/>
      <c r="H175" s="636">
        <f>40960+1370</f>
        <v>42330</v>
      </c>
      <c r="I175" s="629">
        <v>664510</v>
      </c>
    </row>
    <row r="176" spans="1:9" ht="34.5" customHeight="1">
      <c r="A176" s="656"/>
      <c r="B176" s="632" t="s">
        <v>624</v>
      </c>
      <c r="C176" s="631"/>
      <c r="D176" s="630" t="s">
        <v>623</v>
      </c>
      <c r="E176" s="636"/>
      <c r="F176" s="636"/>
      <c r="G176" s="636">
        <v>30000</v>
      </c>
      <c r="H176" s="636"/>
      <c r="I176" s="629">
        <v>44010</v>
      </c>
    </row>
    <row r="177" spans="1:9" ht="34.5" customHeight="1">
      <c r="A177" s="656"/>
      <c r="B177" s="632" t="str">
        <f>"平方公園整備事業"</f>
        <v>平方公園整備事業</v>
      </c>
      <c r="C177" s="631"/>
      <c r="D177" s="630" t="s">
        <v>622</v>
      </c>
      <c r="E177" s="636">
        <v>100800</v>
      </c>
      <c r="F177" s="636"/>
      <c r="G177" s="636">
        <v>181400</v>
      </c>
      <c r="H177" s="636"/>
      <c r="I177" s="629">
        <v>317400</v>
      </c>
    </row>
    <row r="178" spans="1:9" ht="34.5" customHeight="1">
      <c r="A178" s="656"/>
      <c r="B178" s="632" t="s">
        <v>621</v>
      </c>
      <c r="C178" s="631"/>
      <c r="D178" s="630" t="s">
        <v>620</v>
      </c>
      <c r="E178" s="636"/>
      <c r="F178" s="636"/>
      <c r="G178" s="636">
        <v>11200</v>
      </c>
      <c r="H178" s="636"/>
      <c r="I178" s="629">
        <v>15000</v>
      </c>
    </row>
    <row r="179" spans="1:9" ht="54.75" customHeight="1">
      <c r="A179" s="656"/>
      <c r="B179" s="632" t="s">
        <v>619</v>
      </c>
      <c r="C179" s="631"/>
      <c r="D179" s="630" t="s">
        <v>618</v>
      </c>
      <c r="E179" s="636"/>
      <c r="F179" s="636"/>
      <c r="G179" s="636">
        <v>149200</v>
      </c>
      <c r="H179" s="636">
        <v>1000</v>
      </c>
      <c r="I179" s="629">
        <v>208440</v>
      </c>
    </row>
    <row r="180" spans="1:9" ht="34.5" customHeight="1">
      <c r="A180" s="656"/>
      <c r="B180" s="632" t="s">
        <v>617</v>
      </c>
      <c r="C180" s="631"/>
      <c r="D180" s="630" t="s">
        <v>616</v>
      </c>
      <c r="E180" s="636"/>
      <c r="F180" s="636"/>
      <c r="G180" s="636">
        <v>4500</v>
      </c>
      <c r="H180" s="636"/>
      <c r="I180" s="629">
        <v>6000</v>
      </c>
    </row>
    <row r="181" spans="1:9" ht="34.5" customHeight="1">
      <c r="A181" s="656"/>
      <c r="B181" s="632" t="s">
        <v>615</v>
      </c>
      <c r="C181" s="631"/>
      <c r="D181" s="630" t="s">
        <v>614</v>
      </c>
      <c r="E181" s="636"/>
      <c r="F181" s="636"/>
      <c r="G181" s="636">
        <v>3100</v>
      </c>
      <c r="H181" s="636">
        <v>500</v>
      </c>
      <c r="I181" s="629">
        <v>4700</v>
      </c>
    </row>
    <row r="182" spans="1:9" ht="34.5" customHeight="1">
      <c r="A182" s="656"/>
      <c r="B182" s="632" t="s">
        <v>613</v>
      </c>
      <c r="C182" s="631"/>
      <c r="D182" s="630" t="s">
        <v>612</v>
      </c>
      <c r="E182" s="636">
        <v>1700</v>
      </c>
      <c r="F182" s="636"/>
      <c r="G182" s="636"/>
      <c r="H182" s="636"/>
      <c r="I182" s="629">
        <v>3500</v>
      </c>
    </row>
    <row r="183" spans="1:9" ht="34.5" customHeight="1">
      <c r="A183" s="656"/>
      <c r="B183" s="632" t="s">
        <v>611</v>
      </c>
      <c r="C183" s="631"/>
      <c r="D183" s="630" t="s">
        <v>610</v>
      </c>
      <c r="E183" s="636">
        <v>6500</v>
      </c>
      <c r="F183" s="636"/>
      <c r="G183" s="636"/>
      <c r="H183" s="636"/>
      <c r="I183" s="629">
        <v>17290</v>
      </c>
    </row>
    <row r="184" spans="1:9" ht="34.5" customHeight="1">
      <c r="A184" s="656"/>
      <c r="B184" s="632" t="s">
        <v>609</v>
      </c>
      <c r="C184" s="631"/>
      <c r="D184" s="630" t="s">
        <v>608</v>
      </c>
      <c r="E184" s="636"/>
      <c r="F184" s="636"/>
      <c r="G184" s="636">
        <v>84300</v>
      </c>
      <c r="H184" s="636">
        <v>37500</v>
      </c>
      <c r="I184" s="629">
        <v>156700</v>
      </c>
    </row>
    <row r="185" spans="1:9" ht="34.5" customHeight="1">
      <c r="B185" s="632" t="str">
        <f>"公共下水道事業支出金"</f>
        <v>公共下水道事業支出金</v>
      </c>
      <c r="C185" s="631"/>
      <c r="D185" s="630" t="s">
        <v>607</v>
      </c>
      <c r="E185" s="636"/>
      <c r="F185" s="636"/>
      <c r="G185" s="636"/>
      <c r="H185" s="636"/>
      <c r="I185" s="629">
        <v>1769000</v>
      </c>
    </row>
    <row r="186" spans="1:9" ht="34.5" customHeight="1">
      <c r="A186" s="656"/>
      <c r="B186" s="632" t="s">
        <v>606</v>
      </c>
      <c r="C186" s="631"/>
      <c r="D186" s="630" t="s">
        <v>605</v>
      </c>
      <c r="E186" s="636"/>
      <c r="F186" s="636"/>
      <c r="G186" s="636"/>
      <c r="H186" s="636"/>
      <c r="I186" s="629">
        <v>200</v>
      </c>
    </row>
    <row r="187" spans="1:9" ht="54.75" customHeight="1">
      <c r="A187" s="656"/>
      <c r="B187" s="632" t="s">
        <v>604</v>
      </c>
      <c r="C187" s="631"/>
      <c r="D187" s="630" t="s">
        <v>603</v>
      </c>
      <c r="E187" s="636">
        <v>6000</v>
      </c>
      <c r="F187" s="636"/>
      <c r="G187" s="636"/>
      <c r="H187" s="636">
        <v>31420</v>
      </c>
      <c r="I187" s="629">
        <v>40720</v>
      </c>
    </row>
    <row r="188" spans="1:9" s="651" customFormat="1" ht="30" customHeight="1">
      <c r="B188" s="635" t="s">
        <v>602</v>
      </c>
      <c r="C188" s="655"/>
      <c r="D188" s="654"/>
      <c r="E188" s="653"/>
      <c r="F188" s="653"/>
      <c r="G188" s="653"/>
      <c r="H188" s="859">
        <v>3993352</v>
      </c>
      <c r="I188" s="860"/>
    </row>
    <row r="189" spans="1:9" ht="34.5" customHeight="1">
      <c r="A189" s="679"/>
      <c r="B189" s="650" t="s">
        <v>601</v>
      </c>
      <c r="C189" s="649"/>
      <c r="D189" s="644" t="s">
        <v>600</v>
      </c>
      <c r="E189" s="597"/>
      <c r="F189" s="597"/>
      <c r="G189" s="647"/>
      <c r="H189" s="597">
        <v>30</v>
      </c>
      <c r="I189" s="629">
        <v>9840</v>
      </c>
    </row>
    <row r="190" spans="1:9" ht="34.5" customHeight="1">
      <c r="A190" s="679"/>
      <c r="B190" s="650" t="s">
        <v>599</v>
      </c>
      <c r="C190" s="649"/>
      <c r="D190" s="644" t="s">
        <v>598</v>
      </c>
      <c r="E190" s="597"/>
      <c r="F190" s="597"/>
      <c r="G190" s="647"/>
      <c r="H190" s="597"/>
      <c r="I190" s="629">
        <v>72630</v>
      </c>
    </row>
    <row r="191" spans="1:9" ht="34.5" customHeight="1">
      <c r="A191" s="679"/>
      <c r="B191" s="650" t="s">
        <v>597</v>
      </c>
      <c r="C191" s="641"/>
      <c r="D191" s="644" t="s">
        <v>596</v>
      </c>
      <c r="E191" s="597"/>
      <c r="F191" s="597"/>
      <c r="G191" s="647">
        <v>1700</v>
      </c>
      <c r="H191" s="597"/>
      <c r="I191" s="629">
        <v>35400</v>
      </c>
    </row>
    <row r="192" spans="1:9" ht="34.5" customHeight="1">
      <c r="A192" s="679"/>
      <c r="B192" s="650" t="s">
        <v>595</v>
      </c>
      <c r="C192" s="649"/>
      <c r="D192" s="640" t="s">
        <v>594</v>
      </c>
      <c r="E192" s="647"/>
      <c r="F192" s="597"/>
      <c r="G192" s="647"/>
      <c r="H192" s="597">
        <v>10</v>
      </c>
      <c r="I192" s="629">
        <v>42050</v>
      </c>
    </row>
    <row r="193" spans="1:9" ht="34.5" customHeight="1">
      <c r="A193" s="679"/>
      <c r="B193" s="650" t="s">
        <v>593</v>
      </c>
      <c r="C193" s="649"/>
      <c r="D193" s="640" t="s">
        <v>592</v>
      </c>
      <c r="E193" s="597"/>
      <c r="F193" s="597"/>
      <c r="G193" s="647"/>
      <c r="H193" s="597"/>
      <c r="I193" s="629">
        <v>9994</v>
      </c>
    </row>
    <row r="194" spans="1:9" ht="65.25" customHeight="1">
      <c r="A194" s="679"/>
      <c r="B194" s="650" t="s">
        <v>591</v>
      </c>
      <c r="C194" s="649"/>
      <c r="D194" s="640" t="s">
        <v>590</v>
      </c>
      <c r="E194" s="597"/>
      <c r="F194" s="597"/>
      <c r="G194" s="647"/>
      <c r="H194" s="597"/>
      <c r="I194" s="629">
        <v>12561</v>
      </c>
    </row>
    <row r="195" spans="1:9" ht="65.25" customHeight="1">
      <c r="A195" s="679"/>
      <c r="B195" s="648" t="s">
        <v>589</v>
      </c>
      <c r="C195" s="641"/>
      <c r="D195" s="644" t="s">
        <v>588</v>
      </c>
      <c r="E195" s="636"/>
      <c r="F195" s="629"/>
      <c r="G195" s="647">
        <v>16800</v>
      </c>
      <c r="H195" s="629">
        <v>42400</v>
      </c>
      <c r="I195" s="629">
        <v>60330</v>
      </c>
    </row>
    <row r="196" spans="1:9" ht="34.5" customHeight="1">
      <c r="A196" s="679"/>
      <c r="B196" s="648" t="s">
        <v>587</v>
      </c>
      <c r="C196" s="641"/>
      <c r="D196" s="644" t="s">
        <v>586</v>
      </c>
      <c r="E196" s="636"/>
      <c r="F196" s="629"/>
      <c r="G196" s="647"/>
      <c r="H196" s="629">
        <v>700</v>
      </c>
      <c r="I196" s="629">
        <v>11000</v>
      </c>
    </row>
    <row r="197" spans="1:9" ht="65.25" customHeight="1">
      <c r="A197" s="679"/>
      <c r="B197" s="648" t="s">
        <v>585</v>
      </c>
      <c r="C197" s="641"/>
      <c r="D197" s="640" t="s">
        <v>584</v>
      </c>
      <c r="E197" s="636"/>
      <c r="F197" s="629"/>
      <c r="G197" s="647">
        <v>34500</v>
      </c>
      <c r="H197" s="629"/>
      <c r="I197" s="629">
        <v>60410</v>
      </c>
    </row>
    <row r="198" spans="1:9" ht="34.5" customHeight="1">
      <c r="A198" s="679"/>
      <c r="B198" s="648" t="s">
        <v>583</v>
      </c>
      <c r="C198" s="641"/>
      <c r="D198" s="640" t="s">
        <v>582</v>
      </c>
      <c r="E198" s="636"/>
      <c r="F198" s="629"/>
      <c r="G198" s="647">
        <v>48400</v>
      </c>
      <c r="H198" s="629"/>
      <c r="I198" s="629">
        <v>51770</v>
      </c>
    </row>
    <row r="199" spans="1:9" ht="34.5" customHeight="1">
      <c r="A199" s="679"/>
      <c r="B199" s="648" t="s">
        <v>581</v>
      </c>
      <c r="C199" s="641"/>
      <c r="D199" s="640" t="s">
        <v>580</v>
      </c>
      <c r="E199" s="636"/>
      <c r="F199" s="629"/>
      <c r="G199" s="647">
        <v>115800</v>
      </c>
      <c r="H199" s="629"/>
      <c r="I199" s="629">
        <v>157200</v>
      </c>
    </row>
    <row r="200" spans="1:9" ht="79.5" customHeight="1">
      <c r="A200" s="656"/>
      <c r="B200" s="648" t="s">
        <v>244</v>
      </c>
      <c r="C200" s="641"/>
      <c r="D200" s="640" t="s">
        <v>579</v>
      </c>
      <c r="E200" s="636"/>
      <c r="F200" s="629"/>
      <c r="G200" s="647">
        <v>304400</v>
      </c>
      <c r="H200" s="629"/>
      <c r="I200" s="629">
        <v>304400</v>
      </c>
    </row>
    <row r="201" spans="1:9" ht="34.5" customHeight="1">
      <c r="A201" s="656"/>
      <c r="B201" s="648" t="s">
        <v>578</v>
      </c>
      <c r="C201" s="641"/>
      <c r="D201" s="640" t="s">
        <v>577</v>
      </c>
      <c r="E201" s="636"/>
      <c r="F201" s="629"/>
      <c r="G201" s="647">
        <v>32500</v>
      </c>
      <c r="H201" s="629"/>
      <c r="I201" s="629">
        <v>38000</v>
      </c>
    </row>
    <row r="202" spans="1:9" ht="34.5" customHeight="1">
      <c r="A202" s="656"/>
      <c r="B202" s="648" t="s">
        <v>576</v>
      </c>
      <c r="C202" s="631"/>
      <c r="D202" s="630" t="s">
        <v>575</v>
      </c>
      <c r="E202" s="636"/>
      <c r="F202" s="629"/>
      <c r="G202" s="647">
        <v>77300</v>
      </c>
      <c r="H202" s="629"/>
      <c r="I202" s="629">
        <v>116000</v>
      </c>
    </row>
    <row r="203" spans="1:9" ht="30" customHeight="1">
      <c r="B203" s="635" t="s">
        <v>574</v>
      </c>
      <c r="C203" s="634"/>
      <c r="D203" s="633"/>
      <c r="E203" s="634"/>
      <c r="F203" s="634"/>
      <c r="G203" s="634"/>
      <c r="H203" s="853">
        <v>15127824</v>
      </c>
      <c r="I203" s="854"/>
    </row>
    <row r="204" spans="1:9" ht="34.5" customHeight="1">
      <c r="B204" s="632" t="s">
        <v>573</v>
      </c>
      <c r="C204" s="641"/>
      <c r="D204" s="640" t="s">
        <v>572</v>
      </c>
      <c r="E204" s="639">
        <v>700</v>
      </c>
      <c r="F204" s="639">
        <v>16500</v>
      </c>
      <c r="G204" s="639"/>
      <c r="H204" s="639"/>
      <c r="I204" s="638">
        <v>133000</v>
      </c>
    </row>
    <row r="205" spans="1:9" ht="34.5" customHeight="1">
      <c r="B205" s="632" t="s">
        <v>571</v>
      </c>
      <c r="C205" s="631"/>
      <c r="D205" s="645" t="s">
        <v>570</v>
      </c>
      <c r="E205" s="636"/>
      <c r="F205" s="636"/>
      <c r="G205" s="636"/>
      <c r="H205" s="636"/>
      <c r="I205" s="638">
        <v>5000</v>
      </c>
    </row>
    <row r="206" spans="1:9" ht="34.5" customHeight="1">
      <c r="B206" s="632" t="s">
        <v>569</v>
      </c>
      <c r="C206" s="631"/>
      <c r="D206" s="645" t="s">
        <v>568</v>
      </c>
      <c r="E206" s="636"/>
      <c r="F206" s="636"/>
      <c r="G206" s="636"/>
      <c r="H206" s="636"/>
      <c r="I206" s="638">
        <v>170000</v>
      </c>
    </row>
    <row r="207" spans="1:9" ht="62.25" customHeight="1">
      <c r="B207" s="643" t="s">
        <v>567</v>
      </c>
      <c r="C207" s="641"/>
      <c r="D207" s="644" t="s">
        <v>566</v>
      </c>
      <c r="E207" s="639"/>
      <c r="F207" s="639">
        <v>1800</v>
      </c>
      <c r="G207" s="639"/>
      <c r="H207" s="639"/>
      <c r="I207" s="638">
        <v>36030</v>
      </c>
    </row>
    <row r="208" spans="1:9" ht="54.75" customHeight="1">
      <c r="B208" s="643" t="s">
        <v>565</v>
      </c>
      <c r="C208" s="641"/>
      <c r="D208" s="640" t="s">
        <v>564</v>
      </c>
      <c r="E208" s="639"/>
      <c r="F208" s="639"/>
      <c r="G208" s="639"/>
      <c r="H208" s="639"/>
      <c r="I208" s="638">
        <v>68300</v>
      </c>
    </row>
    <row r="209" spans="1:9" ht="34.5" customHeight="1">
      <c r="B209" s="643" t="s">
        <v>563</v>
      </c>
      <c r="C209" s="641"/>
      <c r="D209" s="640" t="s">
        <v>562</v>
      </c>
      <c r="E209" s="639"/>
      <c r="F209" s="639"/>
      <c r="G209" s="639"/>
      <c r="H209" s="639"/>
      <c r="I209" s="638">
        <v>7000</v>
      </c>
    </row>
    <row r="210" spans="1:9" ht="34.5" customHeight="1">
      <c r="B210" s="646" t="s">
        <v>561</v>
      </c>
      <c r="C210" s="641"/>
      <c r="D210" s="640" t="s">
        <v>560</v>
      </c>
      <c r="E210" s="639"/>
      <c r="F210" s="639"/>
      <c r="G210" s="639"/>
      <c r="H210" s="639"/>
      <c r="I210" s="638">
        <v>1660</v>
      </c>
    </row>
    <row r="211" spans="1:9" ht="34.5" customHeight="1">
      <c r="B211" s="643" t="s">
        <v>559</v>
      </c>
      <c r="C211" s="641"/>
      <c r="D211" s="640" t="s">
        <v>558</v>
      </c>
      <c r="E211" s="639"/>
      <c r="F211" s="639"/>
      <c r="G211" s="639"/>
      <c r="H211" s="639"/>
      <c r="I211" s="638">
        <v>5180</v>
      </c>
    </row>
    <row r="212" spans="1:9" ht="34.5" customHeight="1">
      <c r="B212" s="632" t="s">
        <v>557</v>
      </c>
      <c r="C212" s="641"/>
      <c r="D212" s="644" t="s">
        <v>556</v>
      </c>
      <c r="E212" s="639"/>
      <c r="F212" s="639"/>
      <c r="G212" s="639"/>
      <c r="H212" s="639"/>
      <c r="I212" s="638">
        <v>18280</v>
      </c>
    </row>
    <row r="213" spans="1:9" ht="34.5" customHeight="1">
      <c r="B213" s="632" t="s">
        <v>555</v>
      </c>
      <c r="C213" s="641"/>
      <c r="D213" s="644" t="s">
        <v>554</v>
      </c>
      <c r="E213" s="639"/>
      <c r="F213" s="639"/>
      <c r="G213" s="639"/>
      <c r="H213" s="639"/>
      <c r="I213" s="638">
        <v>3830</v>
      </c>
    </row>
    <row r="214" spans="1:9" ht="65.25" customHeight="1">
      <c r="B214" s="632" t="s">
        <v>553</v>
      </c>
      <c r="C214" s="641"/>
      <c r="D214" s="644" t="s">
        <v>552</v>
      </c>
      <c r="E214" s="639">
        <v>2600</v>
      </c>
      <c r="F214" s="639">
        <v>15700</v>
      </c>
      <c r="G214" s="639"/>
      <c r="H214" s="639"/>
      <c r="I214" s="638">
        <v>109320</v>
      </c>
    </row>
    <row r="215" spans="1:9" ht="34.5" customHeight="1">
      <c r="B215" s="632" t="s">
        <v>551</v>
      </c>
      <c r="C215" s="631"/>
      <c r="D215" s="645" t="s">
        <v>550</v>
      </c>
      <c r="E215" s="636">
        <v>900</v>
      </c>
      <c r="F215" s="636"/>
      <c r="G215" s="636"/>
      <c r="H215" s="636"/>
      <c r="I215" s="638">
        <v>3120</v>
      </c>
    </row>
    <row r="216" spans="1:9" ht="34.5" customHeight="1">
      <c r="B216" s="632" t="s">
        <v>549</v>
      </c>
      <c r="C216" s="641"/>
      <c r="D216" s="644" t="s">
        <v>548</v>
      </c>
      <c r="E216" s="639"/>
      <c r="F216" s="639">
        <v>1400</v>
      </c>
      <c r="G216" s="639"/>
      <c r="H216" s="639"/>
      <c r="I216" s="638">
        <v>391050</v>
      </c>
    </row>
    <row r="217" spans="1:9" ht="34.5" customHeight="1">
      <c r="B217" s="632" t="s">
        <v>547</v>
      </c>
      <c r="C217" s="631"/>
      <c r="D217" s="645" t="s">
        <v>546</v>
      </c>
      <c r="E217" s="636">
        <v>8400</v>
      </c>
      <c r="F217" s="636"/>
      <c r="G217" s="636"/>
      <c r="H217" s="636"/>
      <c r="I217" s="638">
        <v>664500</v>
      </c>
    </row>
    <row r="218" spans="1:9" ht="34.5" customHeight="1">
      <c r="B218" s="643" t="s">
        <v>545</v>
      </c>
      <c r="C218" s="641"/>
      <c r="D218" s="640" t="s">
        <v>544</v>
      </c>
      <c r="E218" s="639"/>
      <c r="F218" s="639"/>
      <c r="G218" s="639"/>
      <c r="H218" s="639">
        <v>220</v>
      </c>
      <c r="I218" s="638">
        <v>100503</v>
      </c>
    </row>
    <row r="219" spans="1:9" ht="34.5" customHeight="1">
      <c r="B219" s="643" t="s">
        <v>543</v>
      </c>
      <c r="C219" s="641"/>
      <c r="D219" s="640" t="s">
        <v>542</v>
      </c>
      <c r="E219" s="639"/>
      <c r="F219" s="639"/>
      <c r="G219" s="639"/>
      <c r="H219" s="639">
        <v>18000</v>
      </c>
      <c r="I219" s="638">
        <v>18000</v>
      </c>
    </row>
    <row r="220" spans="1:9" ht="34.5" customHeight="1">
      <c r="A220" s="679"/>
      <c r="B220" s="643" t="s">
        <v>541</v>
      </c>
      <c r="C220" s="641"/>
      <c r="D220" s="640" t="s">
        <v>540</v>
      </c>
      <c r="E220" s="639">
        <v>60000</v>
      </c>
      <c r="F220" s="639"/>
      <c r="G220" s="639"/>
      <c r="H220" s="639">
        <v>800</v>
      </c>
      <c r="I220" s="638">
        <v>379990</v>
      </c>
    </row>
    <row r="221" spans="1:9" ht="79.5" customHeight="1">
      <c r="B221" s="643" t="s">
        <v>539</v>
      </c>
      <c r="C221" s="641"/>
      <c r="D221" s="640" t="s">
        <v>538</v>
      </c>
      <c r="E221" s="639">
        <v>112000</v>
      </c>
      <c r="F221" s="639"/>
      <c r="G221" s="639">
        <v>397000</v>
      </c>
      <c r="H221" s="639">
        <v>348900</v>
      </c>
      <c r="I221" s="638">
        <v>993300</v>
      </c>
    </row>
    <row r="222" spans="1:9" ht="34.5" customHeight="1">
      <c r="B222" s="632" t="s">
        <v>537</v>
      </c>
      <c r="C222" s="641"/>
      <c r="D222" s="640" t="s">
        <v>536</v>
      </c>
      <c r="E222" s="639"/>
      <c r="F222" s="639"/>
      <c r="G222" s="639"/>
      <c r="H222" s="639"/>
      <c r="I222" s="638">
        <v>106400</v>
      </c>
    </row>
    <row r="223" spans="1:9" ht="60" customHeight="1">
      <c r="B223" s="632" t="s">
        <v>535</v>
      </c>
      <c r="C223" s="641"/>
      <c r="D223" s="640" t="s">
        <v>534</v>
      </c>
      <c r="E223" s="639"/>
      <c r="F223" s="639"/>
      <c r="G223" s="639">
        <v>1092000</v>
      </c>
      <c r="H223" s="639"/>
      <c r="I223" s="638">
        <v>1092000</v>
      </c>
    </row>
    <row r="224" spans="1:9" ht="34.5" customHeight="1">
      <c r="B224" s="632" t="s">
        <v>533</v>
      </c>
      <c r="C224" s="631"/>
      <c r="D224" s="630" t="s">
        <v>532</v>
      </c>
      <c r="E224" s="636">
        <v>3400</v>
      </c>
      <c r="F224" s="636">
        <v>200</v>
      </c>
      <c r="G224" s="636"/>
      <c r="H224" s="636"/>
      <c r="I224" s="638">
        <v>183000</v>
      </c>
    </row>
    <row r="225" spans="1:9" ht="34.5" customHeight="1">
      <c r="B225" s="632" t="s">
        <v>531</v>
      </c>
      <c r="C225" s="631"/>
      <c r="D225" s="630" t="s">
        <v>530</v>
      </c>
      <c r="E225" s="636"/>
      <c r="F225" s="636"/>
      <c r="G225" s="636"/>
      <c r="H225" s="636"/>
      <c r="I225" s="638">
        <v>319910</v>
      </c>
    </row>
    <row r="226" spans="1:9" ht="34.5" customHeight="1">
      <c r="B226" s="643" t="s">
        <v>529</v>
      </c>
      <c r="C226" s="641"/>
      <c r="D226" s="644" t="s">
        <v>528</v>
      </c>
      <c r="E226" s="639"/>
      <c r="F226" s="639"/>
      <c r="G226" s="639"/>
      <c r="H226" s="639"/>
      <c r="I226" s="638">
        <v>32700</v>
      </c>
    </row>
    <row r="227" spans="1:9" ht="34.5" customHeight="1">
      <c r="B227" s="643" t="s">
        <v>527</v>
      </c>
      <c r="C227" s="641"/>
      <c r="D227" s="640" t="s">
        <v>526</v>
      </c>
      <c r="E227" s="639">
        <v>30000</v>
      </c>
      <c r="F227" s="639"/>
      <c r="G227" s="639"/>
      <c r="H227" s="639">
        <v>1180</v>
      </c>
      <c r="I227" s="638">
        <v>184830</v>
      </c>
    </row>
    <row r="228" spans="1:9" ht="81.75" customHeight="1">
      <c r="B228" s="632" t="s">
        <v>525</v>
      </c>
      <c r="C228" s="631"/>
      <c r="D228" s="630" t="s">
        <v>524</v>
      </c>
      <c r="E228" s="636">
        <v>45000</v>
      </c>
      <c r="F228" s="636"/>
      <c r="G228" s="636">
        <v>247800</v>
      </c>
      <c r="H228" s="639">
        <f>43000+149400</f>
        <v>192400</v>
      </c>
      <c r="I228" s="638">
        <v>625600</v>
      </c>
    </row>
    <row r="229" spans="1:9" ht="34.5" customHeight="1">
      <c r="B229" s="632" t="s">
        <v>523</v>
      </c>
      <c r="C229" s="631"/>
      <c r="D229" s="630" t="s">
        <v>522</v>
      </c>
      <c r="E229" s="636"/>
      <c r="F229" s="636"/>
      <c r="G229" s="636"/>
      <c r="H229" s="636"/>
      <c r="I229" s="638">
        <v>50900</v>
      </c>
    </row>
    <row r="230" spans="1:9" ht="72" customHeight="1">
      <c r="B230" s="632" t="s">
        <v>521</v>
      </c>
      <c r="C230" s="631"/>
      <c r="D230" s="630" t="s">
        <v>520</v>
      </c>
      <c r="E230" s="636"/>
      <c r="F230" s="636"/>
      <c r="G230" s="636">
        <v>1496100</v>
      </c>
      <c r="H230" s="636"/>
      <c r="I230" s="638">
        <v>1496100</v>
      </c>
    </row>
    <row r="231" spans="1:9" ht="34.5" customHeight="1">
      <c r="B231" s="643" t="s">
        <v>519</v>
      </c>
      <c r="C231" s="641"/>
      <c r="D231" s="640" t="s">
        <v>518</v>
      </c>
      <c r="E231" s="639">
        <v>3400</v>
      </c>
      <c r="F231" s="639">
        <v>200</v>
      </c>
      <c r="G231" s="639"/>
      <c r="H231" s="639"/>
      <c r="I231" s="638">
        <v>192000</v>
      </c>
    </row>
    <row r="232" spans="1:9" ht="34.5" customHeight="1">
      <c r="B232" s="632" t="s">
        <v>517</v>
      </c>
      <c r="C232" s="631"/>
      <c r="D232" s="630" t="s">
        <v>516</v>
      </c>
      <c r="E232" s="636"/>
      <c r="F232" s="636"/>
      <c r="G232" s="636"/>
      <c r="H232" s="636"/>
      <c r="I232" s="638">
        <v>2740</v>
      </c>
    </row>
    <row r="233" spans="1:9" ht="34.5" customHeight="1">
      <c r="B233" s="632" t="s">
        <v>515</v>
      </c>
      <c r="C233" s="631"/>
      <c r="D233" s="630" t="s">
        <v>514</v>
      </c>
      <c r="E233" s="636"/>
      <c r="F233" s="636"/>
      <c r="G233" s="636"/>
      <c r="H233" s="636">
        <f>200+10800</f>
        <v>11000</v>
      </c>
      <c r="I233" s="638">
        <v>45319</v>
      </c>
    </row>
    <row r="234" spans="1:9" ht="34.5" customHeight="1">
      <c r="B234" s="632" t="s">
        <v>513</v>
      </c>
      <c r="C234" s="631"/>
      <c r="D234" s="630" t="s">
        <v>512</v>
      </c>
      <c r="E234" s="636">
        <v>53800</v>
      </c>
      <c r="F234" s="636">
        <v>4300</v>
      </c>
      <c r="G234" s="636"/>
      <c r="H234" s="636"/>
      <c r="I234" s="638">
        <v>93130</v>
      </c>
    </row>
    <row r="235" spans="1:9" ht="34.5" customHeight="1">
      <c r="B235" s="632" t="s">
        <v>511</v>
      </c>
      <c r="C235" s="631"/>
      <c r="D235" s="630" t="s">
        <v>510</v>
      </c>
      <c r="E235" s="636"/>
      <c r="F235" s="636"/>
      <c r="G235" s="636"/>
      <c r="H235" s="636">
        <v>10</v>
      </c>
      <c r="I235" s="638">
        <v>27613</v>
      </c>
    </row>
    <row r="236" spans="1:9" ht="34.5" customHeight="1">
      <c r="B236" s="643" t="s">
        <v>509</v>
      </c>
      <c r="C236" s="641"/>
      <c r="D236" s="640" t="s">
        <v>508</v>
      </c>
      <c r="E236" s="639"/>
      <c r="F236" s="639"/>
      <c r="G236" s="639"/>
      <c r="H236" s="639">
        <v>107590</v>
      </c>
      <c r="I236" s="638">
        <v>657210</v>
      </c>
    </row>
    <row r="237" spans="1:9" ht="34.5" customHeight="1">
      <c r="A237" s="874"/>
      <c r="B237" s="643" t="s">
        <v>507</v>
      </c>
      <c r="C237" s="641"/>
      <c r="D237" s="640" t="s">
        <v>506</v>
      </c>
      <c r="E237" s="639"/>
      <c r="F237" s="639"/>
      <c r="G237" s="639"/>
      <c r="H237" s="639"/>
      <c r="I237" s="638">
        <v>57570</v>
      </c>
    </row>
    <row r="238" spans="1:9" ht="54.75" customHeight="1">
      <c r="B238" s="643" t="s">
        <v>505</v>
      </c>
      <c r="C238" s="642"/>
      <c r="D238" s="640" t="s">
        <v>504</v>
      </c>
      <c r="E238" s="639"/>
      <c r="F238" s="639"/>
      <c r="G238" s="639"/>
      <c r="H238" s="639">
        <v>1070</v>
      </c>
      <c r="I238" s="638">
        <v>3990</v>
      </c>
    </row>
    <row r="239" spans="1:9" ht="34.5" customHeight="1">
      <c r="B239" s="632" t="s">
        <v>503</v>
      </c>
      <c r="C239" s="641"/>
      <c r="D239" s="640" t="s">
        <v>502</v>
      </c>
      <c r="E239" s="639"/>
      <c r="F239" s="639"/>
      <c r="G239" s="639"/>
      <c r="H239" s="639">
        <v>1960</v>
      </c>
      <c r="I239" s="638">
        <v>41500</v>
      </c>
    </row>
    <row r="240" spans="1:9" ht="34.5" customHeight="1">
      <c r="B240" s="632" t="s">
        <v>501</v>
      </c>
      <c r="C240" s="641"/>
      <c r="D240" s="640" t="s">
        <v>500</v>
      </c>
      <c r="E240" s="639"/>
      <c r="F240" s="639"/>
      <c r="G240" s="639"/>
      <c r="H240" s="639"/>
      <c r="I240" s="638">
        <v>26550</v>
      </c>
    </row>
    <row r="241" spans="2:9" ht="34.5" customHeight="1">
      <c r="B241" s="632" t="s">
        <v>499</v>
      </c>
      <c r="C241" s="631"/>
      <c r="D241" s="630" t="s">
        <v>498</v>
      </c>
      <c r="E241" s="636"/>
      <c r="F241" s="636"/>
      <c r="G241" s="636"/>
      <c r="H241" s="636">
        <v>1308000</v>
      </c>
      <c r="I241" s="638">
        <v>1435370</v>
      </c>
    </row>
    <row r="242" spans="2:9" ht="34.5" customHeight="1">
      <c r="B242" s="632" t="s">
        <v>497</v>
      </c>
      <c r="C242" s="631"/>
      <c r="D242" s="630" t="s">
        <v>496</v>
      </c>
      <c r="E242" s="636"/>
      <c r="F242" s="636"/>
      <c r="G242" s="636">
        <v>22500</v>
      </c>
      <c r="H242" s="636"/>
      <c r="I242" s="638">
        <v>56186</v>
      </c>
    </row>
    <row r="243" spans="2:9" ht="54.75" customHeight="1">
      <c r="B243" s="632" t="s">
        <v>495</v>
      </c>
      <c r="C243" s="631"/>
      <c r="D243" s="630" t="s">
        <v>494</v>
      </c>
      <c r="E243" s="636"/>
      <c r="F243" s="636"/>
      <c r="G243" s="636"/>
      <c r="H243" s="636"/>
      <c r="I243" s="638">
        <v>4200</v>
      </c>
    </row>
    <row r="244" spans="2:9" ht="54.75" customHeight="1">
      <c r="B244" s="632" t="s">
        <v>493</v>
      </c>
      <c r="C244" s="631"/>
      <c r="D244" s="630" t="s">
        <v>492</v>
      </c>
      <c r="E244" s="636"/>
      <c r="F244" s="636"/>
      <c r="G244" s="636">
        <v>77000</v>
      </c>
      <c r="H244" s="636">
        <f>61330+47000</f>
        <v>108330</v>
      </c>
      <c r="I244" s="638">
        <v>316802</v>
      </c>
    </row>
    <row r="245" spans="2:9" ht="34.5" customHeight="1">
      <c r="B245" s="632" t="s">
        <v>491</v>
      </c>
      <c r="C245" s="641"/>
      <c r="D245" s="640" t="s">
        <v>490</v>
      </c>
      <c r="E245" s="639"/>
      <c r="F245" s="639"/>
      <c r="G245" s="639"/>
      <c r="H245" s="639">
        <v>17490</v>
      </c>
      <c r="I245" s="638">
        <v>154674</v>
      </c>
    </row>
    <row r="246" spans="2:9" ht="30" customHeight="1">
      <c r="B246" s="635" t="s">
        <v>489</v>
      </c>
      <c r="C246" s="634"/>
      <c r="D246" s="633"/>
      <c r="E246" s="626"/>
      <c r="F246" s="626"/>
      <c r="G246" s="626"/>
      <c r="H246" s="858">
        <v>10</v>
      </c>
      <c r="I246" s="854"/>
    </row>
    <row r="247" spans="2:9" ht="34.5" customHeight="1">
      <c r="B247" s="632" t="str">
        <f>"農業用施設災害復旧費"</f>
        <v>農業用施設災害復旧費</v>
      </c>
      <c r="C247" s="631"/>
      <c r="D247" s="630" t="s">
        <v>488</v>
      </c>
      <c r="E247" s="629"/>
      <c r="F247" s="629"/>
      <c r="G247" s="629"/>
      <c r="H247" s="629"/>
      <c r="I247" s="629">
        <v>10</v>
      </c>
    </row>
    <row r="248" spans="2:9" ht="30" customHeight="1">
      <c r="B248" s="635" t="s">
        <v>487</v>
      </c>
      <c r="C248" s="634"/>
      <c r="D248" s="633"/>
      <c r="E248" s="626"/>
      <c r="F248" s="626"/>
      <c r="G248" s="626"/>
      <c r="H248" s="853">
        <v>7727231</v>
      </c>
      <c r="I248" s="854"/>
    </row>
    <row r="249" spans="2:9" ht="34.5" customHeight="1">
      <c r="B249" s="632" t="str">
        <f>"元金"</f>
        <v>元金</v>
      </c>
      <c r="C249" s="631"/>
      <c r="D249" s="630" t="str">
        <f>"長期債元金"</f>
        <v>長期債元金</v>
      </c>
      <c r="E249" s="629"/>
      <c r="F249" s="629"/>
      <c r="G249" s="629"/>
      <c r="H249" s="636">
        <v>19150</v>
      </c>
      <c r="I249" s="629">
        <v>7408652</v>
      </c>
    </row>
    <row r="250" spans="2:9" ht="34.5" customHeight="1">
      <c r="B250" s="632" t="str">
        <f>"利子"</f>
        <v>利子</v>
      </c>
      <c r="C250" s="631"/>
      <c r="D250" s="630" t="str">
        <f>"長期債利子・一時借入金利子"</f>
        <v>長期債利子・一時借入金利子</v>
      </c>
      <c r="E250" s="629"/>
      <c r="F250" s="637"/>
      <c r="G250" s="629"/>
      <c r="H250" s="636"/>
      <c r="I250" s="629">
        <v>318579</v>
      </c>
    </row>
    <row r="251" spans="2:9" ht="30" customHeight="1">
      <c r="B251" s="635" t="s">
        <v>486</v>
      </c>
      <c r="C251" s="634"/>
      <c r="D251" s="633"/>
      <c r="E251" s="626"/>
      <c r="F251" s="626"/>
      <c r="G251" s="626"/>
      <c r="H251" s="853">
        <v>42010</v>
      </c>
      <c r="I251" s="854"/>
    </row>
    <row r="252" spans="2:9" ht="34.5" customHeight="1">
      <c r="B252" s="632" t="s">
        <v>485</v>
      </c>
      <c r="C252" s="631"/>
      <c r="D252" s="630" t="s">
        <v>484</v>
      </c>
      <c r="E252" s="629"/>
      <c r="F252" s="629"/>
      <c r="G252" s="629"/>
      <c r="H252" s="629"/>
      <c r="I252" s="629">
        <v>22000</v>
      </c>
    </row>
    <row r="253" spans="2:9" ht="30" customHeight="1">
      <c r="B253" s="628" t="s">
        <v>483</v>
      </c>
      <c r="C253" s="626"/>
      <c r="D253" s="627"/>
      <c r="E253" s="626"/>
      <c r="F253" s="626"/>
      <c r="G253" s="626"/>
      <c r="H253" s="853">
        <v>120000</v>
      </c>
      <c r="I253" s="855"/>
    </row>
    <row r="254" spans="2:9" ht="30" customHeight="1">
      <c r="B254" s="625" t="s">
        <v>482</v>
      </c>
      <c r="C254" s="594"/>
      <c r="D254" s="624"/>
      <c r="E254" s="594"/>
      <c r="F254" s="594"/>
      <c r="G254" s="594"/>
      <c r="H254" s="856">
        <f>H5+H9+H43+H86+H123+H127+H137+H147+H203+H246+H248+H251+H253+H188</f>
        <v>115700000</v>
      </c>
      <c r="I254" s="857"/>
    </row>
    <row r="255" spans="2:9" ht="42" customHeight="1">
      <c r="B255" s="623"/>
      <c r="C255" s="622" t="s">
        <v>481</v>
      </c>
    </row>
  </sheetData>
  <mergeCells count="22">
    <mergeCell ref="C5:D5"/>
    <mergeCell ref="H5:I5"/>
    <mergeCell ref="B3:B4"/>
    <mergeCell ref="C3:D4"/>
    <mergeCell ref="E3:H3"/>
    <mergeCell ref="I3:I4"/>
    <mergeCell ref="C9:D9"/>
    <mergeCell ref="E9:F9"/>
    <mergeCell ref="H9:I9"/>
    <mergeCell ref="H43:I43"/>
    <mergeCell ref="H127:I127"/>
    <mergeCell ref="H137:I137"/>
    <mergeCell ref="H147:I147"/>
    <mergeCell ref="H86:I86"/>
    <mergeCell ref="H123:I123"/>
    <mergeCell ref="H188:I188"/>
    <mergeCell ref="H203:I203"/>
    <mergeCell ref="H248:I248"/>
    <mergeCell ref="H251:I251"/>
    <mergeCell ref="H253:I253"/>
    <mergeCell ref="H254:I254"/>
    <mergeCell ref="H246:I246"/>
  </mergeCells>
  <phoneticPr fontId="4"/>
  <printOptions horizontalCentered="1"/>
  <pageMargins left="0.59055118110236227" right="0.55118110236220474" top="0.39370078740157483" bottom="0.47244094488188981" header="0.51181102362204722" footer="0.43307086614173229"/>
  <pageSetup paperSize="9" scale="96" fitToHeight="0" orientation="portrait" cellComments="asDisplayed" r:id="rId1"/>
  <headerFooter alignWithMargins="0"/>
  <rowBreaks count="12" manualBreakCount="12">
    <brk id="24" min="1" max="8" man="1"/>
    <brk id="42" min="1" max="8" man="1"/>
    <brk id="64" min="1" max="8" man="1"/>
    <brk id="79" min="1" max="8" man="1"/>
    <brk id="97" min="1" max="8" man="1"/>
    <brk id="120" min="1" max="8" man="1"/>
    <brk id="141" min="1" max="8" man="1"/>
    <brk id="163" min="1" max="8" man="1"/>
    <brk id="184" min="1" max="8" man="1"/>
    <brk id="202" min="1" max="8" man="1"/>
    <brk id="222" min="1" max="8" man="1"/>
    <brk id="242" min="1"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CD48"/>
  <sheetViews>
    <sheetView view="pageBreakPreview" topLeftCell="A14" zoomScale="130" zoomScaleNormal="100" zoomScaleSheetLayoutView="130" zoomScalePageLayoutView="115" workbookViewId="0">
      <selection activeCell="G66" sqref="G66"/>
    </sheetView>
  </sheetViews>
  <sheetFormatPr defaultColWidth="9" defaultRowHeight="14.25" outlineLevelCol="1"/>
  <cols>
    <col min="1" max="1" width="4" style="241" customWidth="1"/>
    <col min="2" max="2" width="20.375" style="241" customWidth="1"/>
    <col min="3" max="3" width="14.625" style="241" customWidth="1"/>
    <col min="4" max="4" width="7.875" style="241" hidden="1" customWidth="1" outlineLevel="1"/>
    <col min="5" max="5" width="10.625" style="241" hidden="1" customWidth="1" outlineLevel="1"/>
    <col min="6" max="6" width="6.125" style="241" hidden="1" customWidth="1" outlineLevel="1"/>
    <col min="7" max="7" width="7.875" style="241" customWidth="1" collapsed="1"/>
    <col min="8" max="8" width="14.625" style="241" customWidth="1"/>
    <col min="9" max="9" width="6.875" style="241" hidden="1" customWidth="1" outlineLevel="1"/>
    <col min="10" max="10" width="9.125" style="241" hidden="1" customWidth="1" outlineLevel="1"/>
    <col min="11" max="11" width="4.125" style="241" hidden="1" customWidth="1" outlineLevel="1"/>
    <col min="12" max="12" width="7.875" style="241" customWidth="1" collapsed="1"/>
    <col min="13" max="13" width="14.625" style="243" customWidth="1"/>
    <col min="14" max="14" width="8.875" style="243" customWidth="1"/>
    <col min="15" max="16" width="15.625" style="241" customWidth="1"/>
    <col min="17" max="17" width="19.5" style="241" customWidth="1"/>
    <col min="18" max="16384" width="9" style="241"/>
  </cols>
  <sheetData>
    <row r="1" spans="1:16" ht="31.5" customHeight="1">
      <c r="A1" s="706" t="s">
        <v>82</v>
      </c>
      <c r="B1" s="706"/>
      <c r="C1" s="706"/>
      <c r="D1" s="706"/>
      <c r="E1" s="706"/>
      <c r="F1" s="706"/>
      <c r="G1" s="706"/>
      <c r="H1" s="706"/>
      <c r="I1" s="706"/>
      <c r="J1" s="706"/>
      <c r="K1" s="706"/>
      <c r="L1" s="706"/>
      <c r="M1" s="706"/>
      <c r="N1" s="706"/>
      <c r="O1" s="196"/>
      <c r="P1" s="196" t="s">
        <v>181</v>
      </c>
    </row>
    <row r="2" spans="1:16" ht="31.5" customHeight="1">
      <c r="B2" s="242"/>
      <c r="O2" s="200"/>
      <c r="P2" s="158"/>
    </row>
    <row r="3" spans="1:16" ht="31.5" customHeight="1">
      <c r="A3" s="241" t="s">
        <v>46</v>
      </c>
      <c r="N3" s="244" t="s">
        <v>43</v>
      </c>
      <c r="O3" s="245"/>
      <c r="P3" s="205" t="s">
        <v>182</v>
      </c>
    </row>
    <row r="4" spans="1:16" s="247" customFormat="1" ht="29.25" customHeight="1">
      <c r="A4" s="707" t="s">
        <v>14</v>
      </c>
      <c r="B4" s="708"/>
      <c r="C4" s="480" t="s">
        <v>76</v>
      </c>
      <c r="D4" s="480" t="s">
        <v>16</v>
      </c>
      <c r="E4" s="480" t="s">
        <v>17</v>
      </c>
      <c r="F4" s="480" t="s">
        <v>175</v>
      </c>
      <c r="G4" s="480" t="s">
        <v>15</v>
      </c>
      <c r="H4" s="480" t="s">
        <v>44</v>
      </c>
      <c r="I4" s="480" t="s">
        <v>16</v>
      </c>
      <c r="J4" s="480" t="s">
        <v>17</v>
      </c>
      <c r="K4" s="480" t="s">
        <v>175</v>
      </c>
      <c r="L4" s="480" t="s">
        <v>15</v>
      </c>
      <c r="M4" s="481" t="s">
        <v>12</v>
      </c>
      <c r="N4" s="481" t="s">
        <v>45</v>
      </c>
      <c r="O4" s="246"/>
      <c r="P4" s="246"/>
    </row>
    <row r="5" spans="1:16" s="247" customFormat="1" ht="33" customHeight="1">
      <c r="A5" s="488">
        <v>1</v>
      </c>
      <c r="B5" s="489" t="s">
        <v>18</v>
      </c>
      <c r="C5" s="490">
        <v>47149000</v>
      </c>
      <c r="D5" s="491">
        <f t="shared" ref="D5:D25" si="0">IF(C5="-",0,ROUNDDOWN(C5/C$26*100,1))</f>
        <v>40.700000000000003</v>
      </c>
      <c r="E5" s="492">
        <f t="shared" ref="E5:E25" si="1">IF(C5="-",0,ROUNDDOWN(C5/C$26*100,5)-D5)</f>
        <v>5.1079999999998904E-2</v>
      </c>
      <c r="F5" s="493">
        <f t="shared" ref="F5:F25" si="2">RANK(E5,E$5:E$25,0)</f>
        <v>10</v>
      </c>
      <c r="G5" s="494">
        <f t="shared" ref="G5:G25" si="3">IF(F5&lt;=D$27,D5+0.1,D5)</f>
        <v>40.800000000000004</v>
      </c>
      <c r="H5" s="490">
        <v>48244000</v>
      </c>
      <c r="I5" s="494">
        <f t="shared" ref="I5:I25" si="4">IF(H5="-",0,ROUNDDOWN(H5/H$26*100,1))</f>
        <v>43.1</v>
      </c>
      <c r="J5" s="495">
        <f t="shared" ref="J5:J25" si="5">IF(H5="-",0,ROUNDDOWN(H5/H$26*100,5)-I5)</f>
        <v>5.2050000000001262E-2</v>
      </c>
      <c r="K5" s="496">
        <f t="shared" ref="K5:K25" si="6">RANK(J5,J$5:J$25,0)</f>
        <v>8</v>
      </c>
      <c r="L5" s="494">
        <f t="shared" ref="L5:L25" si="7">IF(K5&lt;=I$27,I5+0.1,I5)</f>
        <v>43.2</v>
      </c>
      <c r="M5" s="497">
        <f>C5-H5</f>
        <v>-1095000</v>
      </c>
      <c r="N5" s="498">
        <f>IF(C5="-","　皆減",ROUND((C5/H5*100)-100,1))</f>
        <v>-2.2999999999999998</v>
      </c>
      <c r="O5" s="246"/>
      <c r="P5" s="246"/>
    </row>
    <row r="6" spans="1:16" s="247" customFormat="1" ht="33" customHeight="1">
      <c r="A6" s="488">
        <v>2</v>
      </c>
      <c r="B6" s="489" t="s">
        <v>47</v>
      </c>
      <c r="C6" s="490">
        <v>717000</v>
      </c>
      <c r="D6" s="491">
        <f t="shared" si="0"/>
        <v>0.6</v>
      </c>
      <c r="E6" s="492">
        <f t="shared" si="1"/>
        <v>1.9700000000000051E-2</v>
      </c>
      <c r="F6" s="493">
        <f t="shared" si="2"/>
        <v>18</v>
      </c>
      <c r="G6" s="494">
        <f t="shared" si="3"/>
        <v>0.6</v>
      </c>
      <c r="H6" s="490">
        <v>716000</v>
      </c>
      <c r="I6" s="494">
        <f t="shared" si="4"/>
        <v>0.6</v>
      </c>
      <c r="J6" s="495">
        <f t="shared" si="5"/>
        <v>4.0420000000000011E-2</v>
      </c>
      <c r="K6" s="496">
        <f t="shared" si="6"/>
        <v>12</v>
      </c>
      <c r="L6" s="494">
        <f t="shared" si="7"/>
        <v>0.6</v>
      </c>
      <c r="M6" s="497">
        <f t="shared" ref="M6:M25" si="8">C6-H6</f>
        <v>1000</v>
      </c>
      <c r="N6" s="498">
        <f>IF(C6="-","　皆減",ROUND((C6/H6*100)-100,1))</f>
        <v>0.1</v>
      </c>
      <c r="O6" s="246"/>
      <c r="P6" s="246"/>
    </row>
    <row r="7" spans="1:16" s="247" customFormat="1" ht="33" customHeight="1">
      <c r="A7" s="488">
        <v>3</v>
      </c>
      <c r="B7" s="489" t="s">
        <v>19</v>
      </c>
      <c r="C7" s="490">
        <v>20000</v>
      </c>
      <c r="D7" s="491">
        <f t="shared" si="0"/>
        <v>0</v>
      </c>
      <c r="E7" s="492">
        <f t="shared" si="1"/>
        <v>1.728E-2</v>
      </c>
      <c r="F7" s="493">
        <f t="shared" si="2"/>
        <v>19</v>
      </c>
      <c r="G7" s="494">
        <f t="shared" si="3"/>
        <v>0</v>
      </c>
      <c r="H7" s="490">
        <v>20000</v>
      </c>
      <c r="I7" s="494">
        <f t="shared" si="4"/>
        <v>0</v>
      </c>
      <c r="J7" s="495">
        <f t="shared" si="5"/>
        <v>1.788E-2</v>
      </c>
      <c r="K7" s="496">
        <f t="shared" si="6"/>
        <v>15</v>
      </c>
      <c r="L7" s="494">
        <f t="shared" si="7"/>
        <v>0</v>
      </c>
      <c r="M7" s="497">
        <f t="shared" si="8"/>
        <v>0</v>
      </c>
      <c r="N7" s="498">
        <f>IF(C7="-","　皆減",ROUND((C7/H7*100)-100,1))</f>
        <v>0</v>
      </c>
      <c r="O7" s="246"/>
      <c r="P7" s="246"/>
    </row>
    <row r="8" spans="1:16" s="247" customFormat="1" ht="33" customHeight="1">
      <c r="A8" s="488">
        <v>4</v>
      </c>
      <c r="B8" s="489" t="s">
        <v>83</v>
      </c>
      <c r="C8" s="490">
        <v>250000</v>
      </c>
      <c r="D8" s="491">
        <f t="shared" si="0"/>
        <v>0.2</v>
      </c>
      <c r="E8" s="492">
        <f t="shared" si="1"/>
        <v>1.6070000000000001E-2</v>
      </c>
      <c r="F8" s="493">
        <f t="shared" si="2"/>
        <v>20</v>
      </c>
      <c r="G8" s="494">
        <f t="shared" si="3"/>
        <v>0.2</v>
      </c>
      <c r="H8" s="490">
        <v>250000</v>
      </c>
      <c r="I8" s="494">
        <f t="shared" si="4"/>
        <v>0.2</v>
      </c>
      <c r="J8" s="495">
        <f t="shared" si="5"/>
        <v>2.3609999999999992E-2</v>
      </c>
      <c r="K8" s="496">
        <f t="shared" si="6"/>
        <v>14</v>
      </c>
      <c r="L8" s="494">
        <f t="shared" si="7"/>
        <v>0.2</v>
      </c>
      <c r="M8" s="497">
        <f>IF(H8="－",C8,C8-H8)</f>
        <v>0</v>
      </c>
      <c r="N8" s="499">
        <f>IF(C8="－","　皆減",IF(H8="－","皆増",ROUND((C8/H8*100)-100,1)))</f>
        <v>0</v>
      </c>
      <c r="O8" s="246"/>
      <c r="P8" s="246"/>
    </row>
    <row r="9" spans="1:16" s="247" customFormat="1" ht="33" customHeight="1">
      <c r="A9" s="488">
        <v>5</v>
      </c>
      <c r="B9" s="500" t="s">
        <v>84</v>
      </c>
      <c r="C9" s="490">
        <v>200000</v>
      </c>
      <c r="D9" s="491">
        <f t="shared" si="0"/>
        <v>0.1</v>
      </c>
      <c r="E9" s="492">
        <f t="shared" si="1"/>
        <v>7.2860000000000008E-2</v>
      </c>
      <c r="F9" s="493">
        <f t="shared" si="2"/>
        <v>4</v>
      </c>
      <c r="G9" s="494">
        <f t="shared" si="3"/>
        <v>0.2</v>
      </c>
      <c r="H9" s="490">
        <v>200000</v>
      </c>
      <c r="I9" s="494">
        <f t="shared" si="4"/>
        <v>0.1</v>
      </c>
      <c r="J9" s="495">
        <f t="shared" si="5"/>
        <v>7.8889999999999988E-2</v>
      </c>
      <c r="K9" s="496">
        <f t="shared" si="6"/>
        <v>3</v>
      </c>
      <c r="L9" s="494">
        <f t="shared" si="7"/>
        <v>0.2</v>
      </c>
      <c r="M9" s="497">
        <f>IF(H9="－",C9,C9-H9)</f>
        <v>0</v>
      </c>
      <c r="N9" s="498">
        <f>IF(C9="－","　皆減",IF(H9="－","皆増",ROUND((C9/H9*100)-100,1)))</f>
        <v>0</v>
      </c>
      <c r="O9" s="246"/>
      <c r="P9" s="246"/>
    </row>
    <row r="10" spans="1:16" s="247" customFormat="1" ht="33" customHeight="1">
      <c r="A10" s="488">
        <v>6</v>
      </c>
      <c r="B10" s="489" t="s">
        <v>196</v>
      </c>
      <c r="C10" s="490">
        <v>500000</v>
      </c>
      <c r="D10" s="491">
        <f t="shared" si="0"/>
        <v>0.4</v>
      </c>
      <c r="E10" s="492">
        <f t="shared" si="1"/>
        <v>3.2149999999999956E-2</v>
      </c>
      <c r="F10" s="493">
        <f t="shared" si="2"/>
        <v>15</v>
      </c>
      <c r="G10" s="494">
        <f t="shared" si="3"/>
        <v>0.4</v>
      </c>
      <c r="H10" s="490">
        <v>500000</v>
      </c>
      <c r="I10" s="494">
        <f t="shared" si="4"/>
        <v>0.4</v>
      </c>
      <c r="J10" s="495">
        <f t="shared" si="5"/>
        <v>4.7219999999999984E-2</v>
      </c>
      <c r="K10" s="496">
        <f t="shared" si="6"/>
        <v>9</v>
      </c>
      <c r="L10" s="494">
        <f t="shared" si="7"/>
        <v>0.5</v>
      </c>
      <c r="M10" s="497">
        <f t="shared" ref="M10" si="9">C10-H10</f>
        <v>0</v>
      </c>
      <c r="N10" s="498">
        <f t="shared" ref="N10:N24" si="10">IF(C10="-","　皆減",ROUND((C10/H10*100)-100,1))</f>
        <v>0</v>
      </c>
      <c r="O10" s="246"/>
      <c r="P10" s="246"/>
    </row>
    <row r="11" spans="1:16" s="247" customFormat="1" ht="33" customHeight="1">
      <c r="A11" s="488">
        <v>7</v>
      </c>
      <c r="B11" s="489" t="s">
        <v>20</v>
      </c>
      <c r="C11" s="490">
        <v>7700000</v>
      </c>
      <c r="D11" s="491">
        <f t="shared" si="0"/>
        <v>6.6</v>
      </c>
      <c r="E11" s="492">
        <f t="shared" si="1"/>
        <v>5.5140000000000633E-2</v>
      </c>
      <c r="F11" s="493">
        <f t="shared" si="2"/>
        <v>9</v>
      </c>
      <c r="G11" s="494">
        <f t="shared" si="3"/>
        <v>6.6999999999999993</v>
      </c>
      <c r="H11" s="490">
        <v>7800000</v>
      </c>
      <c r="I11" s="494">
        <f t="shared" si="4"/>
        <v>6.9</v>
      </c>
      <c r="J11" s="495">
        <f t="shared" si="5"/>
        <v>7.674000000000003E-2</v>
      </c>
      <c r="K11" s="496">
        <f t="shared" si="6"/>
        <v>4</v>
      </c>
      <c r="L11" s="494">
        <f t="shared" si="7"/>
        <v>7</v>
      </c>
      <c r="M11" s="497">
        <f t="shared" si="8"/>
        <v>-100000</v>
      </c>
      <c r="N11" s="498">
        <f t="shared" si="10"/>
        <v>-1.3</v>
      </c>
      <c r="O11" s="246"/>
      <c r="P11" s="246"/>
    </row>
    <row r="12" spans="1:16" s="247" customFormat="1" ht="33" customHeight="1">
      <c r="A12" s="488">
        <v>8</v>
      </c>
      <c r="B12" s="489" t="s">
        <v>189</v>
      </c>
      <c r="C12" s="490">
        <v>170000</v>
      </c>
      <c r="D12" s="491">
        <f t="shared" si="0"/>
        <v>0.1</v>
      </c>
      <c r="E12" s="492">
        <f t="shared" si="1"/>
        <v>4.6929999999999999E-2</v>
      </c>
      <c r="F12" s="493">
        <f t="shared" si="2"/>
        <v>11</v>
      </c>
      <c r="G12" s="494">
        <f t="shared" si="3"/>
        <v>0.1</v>
      </c>
      <c r="H12" s="490">
        <v>120000</v>
      </c>
      <c r="I12" s="494">
        <f t="shared" si="4"/>
        <v>0.1</v>
      </c>
      <c r="J12" s="495">
        <f t="shared" si="5"/>
        <v>7.3299999999999893E-3</v>
      </c>
      <c r="K12" s="496">
        <f t="shared" si="6"/>
        <v>20</v>
      </c>
      <c r="L12" s="494">
        <f t="shared" si="7"/>
        <v>0.1</v>
      </c>
      <c r="M12" s="497">
        <f t="shared" ref="M12" si="11">C12-H12</f>
        <v>50000</v>
      </c>
      <c r="N12" s="498">
        <f t="shared" si="10"/>
        <v>41.7</v>
      </c>
      <c r="O12" s="246"/>
      <c r="P12" s="246"/>
    </row>
    <row r="13" spans="1:16" s="247" customFormat="1" ht="33" customHeight="1">
      <c r="A13" s="488">
        <v>9</v>
      </c>
      <c r="B13" s="489" t="s">
        <v>22</v>
      </c>
      <c r="C13" s="490">
        <v>1990000</v>
      </c>
      <c r="D13" s="491">
        <f t="shared" si="0"/>
        <v>1.7</v>
      </c>
      <c r="E13" s="492">
        <f t="shared" si="1"/>
        <v>1.9959999999999978E-2</v>
      </c>
      <c r="F13" s="493">
        <f t="shared" si="2"/>
        <v>17</v>
      </c>
      <c r="G13" s="494">
        <f t="shared" si="3"/>
        <v>1.7</v>
      </c>
      <c r="H13" s="490">
        <v>440000</v>
      </c>
      <c r="I13" s="494">
        <f t="shared" si="4"/>
        <v>0.3</v>
      </c>
      <c r="J13" s="495">
        <f t="shared" si="5"/>
        <v>9.3550000000000022E-2</v>
      </c>
      <c r="K13" s="496">
        <f t="shared" si="6"/>
        <v>2</v>
      </c>
      <c r="L13" s="494">
        <f t="shared" si="7"/>
        <v>0.4</v>
      </c>
      <c r="M13" s="497">
        <f t="shared" si="8"/>
        <v>1550000</v>
      </c>
      <c r="N13" s="498">
        <f t="shared" si="10"/>
        <v>352.3</v>
      </c>
      <c r="O13" s="246"/>
      <c r="P13" s="332"/>
    </row>
    <row r="14" spans="1:16" s="247" customFormat="1" ht="33" customHeight="1">
      <c r="A14" s="488">
        <v>10</v>
      </c>
      <c r="B14" s="489" t="s">
        <v>23</v>
      </c>
      <c r="C14" s="490">
        <v>5900000</v>
      </c>
      <c r="D14" s="491">
        <f t="shared" si="0"/>
        <v>5</v>
      </c>
      <c r="E14" s="492">
        <f t="shared" si="1"/>
        <v>9.9389999999999645E-2</v>
      </c>
      <c r="F14" s="493">
        <f t="shared" si="2"/>
        <v>1</v>
      </c>
      <c r="G14" s="494">
        <f t="shared" si="3"/>
        <v>5.0999999999999996</v>
      </c>
      <c r="H14" s="490">
        <v>4200000</v>
      </c>
      <c r="I14" s="494">
        <f t="shared" si="4"/>
        <v>3.7</v>
      </c>
      <c r="J14" s="495">
        <f t="shared" si="5"/>
        <v>5.6699999999999751E-2</v>
      </c>
      <c r="K14" s="496">
        <f t="shared" si="6"/>
        <v>7</v>
      </c>
      <c r="L14" s="494">
        <f t="shared" si="7"/>
        <v>3.8000000000000003</v>
      </c>
      <c r="M14" s="497">
        <f t="shared" si="8"/>
        <v>1700000</v>
      </c>
      <c r="N14" s="498">
        <f t="shared" si="10"/>
        <v>40.5</v>
      </c>
      <c r="O14" s="246"/>
      <c r="P14" s="246"/>
    </row>
    <row r="15" spans="1:16" s="247" customFormat="1" ht="33" customHeight="1">
      <c r="A15" s="488">
        <v>11</v>
      </c>
      <c r="B15" s="500" t="s">
        <v>24</v>
      </c>
      <c r="C15" s="490">
        <v>42000</v>
      </c>
      <c r="D15" s="491">
        <f t="shared" si="0"/>
        <v>0</v>
      </c>
      <c r="E15" s="492">
        <f t="shared" si="1"/>
        <v>3.6299999999999999E-2</v>
      </c>
      <c r="F15" s="493">
        <f t="shared" si="2"/>
        <v>14</v>
      </c>
      <c r="G15" s="494">
        <f t="shared" si="3"/>
        <v>0</v>
      </c>
      <c r="H15" s="490">
        <v>42000</v>
      </c>
      <c r="I15" s="494">
        <f t="shared" si="4"/>
        <v>0</v>
      </c>
      <c r="J15" s="495">
        <f t="shared" si="5"/>
        <v>3.7560000000000003E-2</v>
      </c>
      <c r="K15" s="496">
        <f t="shared" si="6"/>
        <v>13</v>
      </c>
      <c r="L15" s="494">
        <f t="shared" si="7"/>
        <v>0</v>
      </c>
      <c r="M15" s="497">
        <f t="shared" si="8"/>
        <v>0</v>
      </c>
      <c r="N15" s="498">
        <f t="shared" si="10"/>
        <v>0</v>
      </c>
      <c r="O15" s="246"/>
      <c r="P15" s="246"/>
    </row>
    <row r="16" spans="1:16" s="247" customFormat="1" ht="33" customHeight="1">
      <c r="A16" s="488">
        <v>12</v>
      </c>
      <c r="B16" s="489" t="s">
        <v>25</v>
      </c>
      <c r="C16" s="490">
        <v>532880</v>
      </c>
      <c r="D16" s="491">
        <f t="shared" si="0"/>
        <v>0.4</v>
      </c>
      <c r="E16" s="492">
        <f t="shared" si="1"/>
        <v>6.0569999999999957E-2</v>
      </c>
      <c r="F16" s="493">
        <f t="shared" si="2"/>
        <v>8</v>
      </c>
      <c r="G16" s="494">
        <f t="shared" si="3"/>
        <v>0.5</v>
      </c>
      <c r="H16" s="490">
        <v>495280</v>
      </c>
      <c r="I16" s="494">
        <f t="shared" si="4"/>
        <v>0.4</v>
      </c>
      <c r="J16" s="495">
        <f t="shared" si="5"/>
        <v>4.2999999999999983E-2</v>
      </c>
      <c r="K16" s="496">
        <f t="shared" si="6"/>
        <v>10</v>
      </c>
      <c r="L16" s="494">
        <f t="shared" si="7"/>
        <v>0.4</v>
      </c>
      <c r="M16" s="497">
        <f t="shared" si="8"/>
        <v>37600</v>
      </c>
      <c r="N16" s="498">
        <f t="shared" si="10"/>
        <v>7.6</v>
      </c>
      <c r="O16" s="246"/>
      <c r="P16" s="246"/>
    </row>
    <row r="17" spans="1:19" s="247" customFormat="1" ht="33" customHeight="1">
      <c r="A17" s="488">
        <v>13</v>
      </c>
      <c r="B17" s="489" t="s">
        <v>48</v>
      </c>
      <c r="C17" s="490">
        <v>1531925</v>
      </c>
      <c r="D17" s="491">
        <f t="shared" si="0"/>
        <v>1.3</v>
      </c>
      <c r="E17" s="492">
        <f t="shared" si="1"/>
        <v>2.4040000000000061E-2</v>
      </c>
      <c r="F17" s="493">
        <f t="shared" si="2"/>
        <v>16</v>
      </c>
      <c r="G17" s="494">
        <f t="shared" si="3"/>
        <v>1.3</v>
      </c>
      <c r="H17" s="490">
        <v>1467075</v>
      </c>
      <c r="I17" s="494">
        <f t="shared" si="4"/>
        <v>1.3</v>
      </c>
      <c r="J17" s="495">
        <f t="shared" si="5"/>
        <v>1.2229999999999963E-2</v>
      </c>
      <c r="K17" s="496">
        <f t="shared" si="6"/>
        <v>17</v>
      </c>
      <c r="L17" s="494">
        <f t="shared" si="7"/>
        <v>1.3</v>
      </c>
      <c r="M17" s="497">
        <f t="shared" si="8"/>
        <v>64850</v>
      </c>
      <c r="N17" s="498">
        <f t="shared" si="10"/>
        <v>4.4000000000000004</v>
      </c>
      <c r="O17" s="246"/>
      <c r="P17" s="246"/>
    </row>
    <row r="18" spans="1:19" s="247" customFormat="1" ht="33" customHeight="1">
      <c r="A18" s="488">
        <v>14</v>
      </c>
      <c r="B18" s="489" t="s">
        <v>26</v>
      </c>
      <c r="C18" s="490">
        <v>20868640</v>
      </c>
      <c r="D18" s="491">
        <f t="shared" si="0"/>
        <v>18</v>
      </c>
      <c r="E18" s="492">
        <f t="shared" si="1"/>
        <v>3.685000000000116E-2</v>
      </c>
      <c r="F18" s="493">
        <f t="shared" si="2"/>
        <v>13</v>
      </c>
      <c r="G18" s="494">
        <f t="shared" si="3"/>
        <v>18</v>
      </c>
      <c r="H18" s="490">
        <v>20504780</v>
      </c>
      <c r="I18" s="494">
        <f t="shared" si="4"/>
        <v>18.3</v>
      </c>
      <c r="J18" s="495">
        <f t="shared" si="5"/>
        <v>4.0589999999998128E-2</v>
      </c>
      <c r="K18" s="496">
        <f t="shared" si="6"/>
        <v>11</v>
      </c>
      <c r="L18" s="494">
        <f t="shared" si="7"/>
        <v>18.3</v>
      </c>
      <c r="M18" s="497">
        <f t="shared" si="8"/>
        <v>363860</v>
      </c>
      <c r="N18" s="498">
        <f t="shared" si="10"/>
        <v>1.8</v>
      </c>
      <c r="O18" s="246"/>
      <c r="P18" s="246"/>
    </row>
    <row r="19" spans="1:19" s="247" customFormat="1" ht="33" customHeight="1">
      <c r="A19" s="488">
        <v>15</v>
      </c>
      <c r="B19" s="489" t="s">
        <v>27</v>
      </c>
      <c r="C19" s="490">
        <v>7607370</v>
      </c>
      <c r="D19" s="491">
        <f t="shared" si="0"/>
        <v>6.5</v>
      </c>
      <c r="E19" s="492">
        <f t="shared" si="1"/>
        <v>7.5079999999999814E-2</v>
      </c>
      <c r="F19" s="493">
        <f t="shared" si="2"/>
        <v>3</v>
      </c>
      <c r="G19" s="494">
        <f t="shared" si="3"/>
        <v>6.6</v>
      </c>
      <c r="H19" s="490">
        <v>7394680</v>
      </c>
      <c r="I19" s="494">
        <f t="shared" si="4"/>
        <v>6.6</v>
      </c>
      <c r="J19" s="495">
        <f t="shared" si="5"/>
        <v>1.4200000000000657E-2</v>
      </c>
      <c r="K19" s="496">
        <f t="shared" si="6"/>
        <v>16</v>
      </c>
      <c r="L19" s="494">
        <f t="shared" si="7"/>
        <v>6.6</v>
      </c>
      <c r="M19" s="497">
        <f t="shared" si="8"/>
        <v>212690</v>
      </c>
      <c r="N19" s="498">
        <f t="shared" si="10"/>
        <v>2.9</v>
      </c>
      <c r="O19" s="246"/>
      <c r="P19" s="246"/>
    </row>
    <row r="20" spans="1:19" s="247" customFormat="1" ht="33" customHeight="1">
      <c r="A20" s="488">
        <v>16</v>
      </c>
      <c r="B20" s="489" t="s">
        <v>28</v>
      </c>
      <c r="C20" s="490">
        <v>103010</v>
      </c>
      <c r="D20" s="491">
        <f t="shared" si="0"/>
        <v>0</v>
      </c>
      <c r="E20" s="492">
        <f t="shared" si="1"/>
        <v>8.9029999999999998E-2</v>
      </c>
      <c r="F20" s="493">
        <f t="shared" si="2"/>
        <v>2</v>
      </c>
      <c r="G20" s="494">
        <f t="shared" si="3"/>
        <v>0.1</v>
      </c>
      <c r="H20" s="490">
        <v>85610</v>
      </c>
      <c r="I20" s="494">
        <f t="shared" si="4"/>
        <v>0</v>
      </c>
      <c r="J20" s="495">
        <f t="shared" si="5"/>
        <v>7.6569999999999999E-2</v>
      </c>
      <c r="K20" s="496">
        <f t="shared" si="6"/>
        <v>5</v>
      </c>
      <c r="L20" s="494">
        <f t="shared" si="7"/>
        <v>0.1</v>
      </c>
      <c r="M20" s="497">
        <f t="shared" si="8"/>
        <v>17400</v>
      </c>
      <c r="N20" s="498">
        <f t="shared" si="10"/>
        <v>20.3</v>
      </c>
      <c r="O20" s="246"/>
      <c r="P20" s="246"/>
    </row>
    <row r="21" spans="1:19" s="247" customFormat="1" ht="33" customHeight="1">
      <c r="A21" s="488">
        <v>17</v>
      </c>
      <c r="B21" s="489" t="s">
        <v>29</v>
      </c>
      <c r="C21" s="490">
        <v>52000</v>
      </c>
      <c r="D21" s="491">
        <f t="shared" si="0"/>
        <v>0</v>
      </c>
      <c r="E21" s="492">
        <f t="shared" si="1"/>
        <v>4.4940000000000001E-2</v>
      </c>
      <c r="F21" s="493">
        <f t="shared" si="2"/>
        <v>12</v>
      </c>
      <c r="G21" s="494">
        <f t="shared" si="3"/>
        <v>0</v>
      </c>
      <c r="H21" s="490">
        <v>13010</v>
      </c>
      <c r="I21" s="494">
        <f t="shared" si="4"/>
        <v>0</v>
      </c>
      <c r="J21" s="495">
        <f t="shared" si="5"/>
        <v>1.163E-2</v>
      </c>
      <c r="K21" s="496">
        <f t="shared" si="6"/>
        <v>18</v>
      </c>
      <c r="L21" s="494">
        <f t="shared" si="7"/>
        <v>0</v>
      </c>
      <c r="M21" s="497">
        <f t="shared" si="8"/>
        <v>38990</v>
      </c>
      <c r="N21" s="498">
        <f t="shared" si="10"/>
        <v>299.7</v>
      </c>
      <c r="O21" s="246"/>
      <c r="P21" s="246"/>
    </row>
    <row r="22" spans="1:19" s="247" customFormat="1" ht="33" customHeight="1">
      <c r="A22" s="488">
        <v>18</v>
      </c>
      <c r="B22" s="489" t="s">
        <v>49</v>
      </c>
      <c r="C22" s="501">
        <v>7138910</v>
      </c>
      <c r="D22" s="491">
        <f t="shared" si="0"/>
        <v>6.1</v>
      </c>
      <c r="E22" s="492">
        <f t="shared" si="1"/>
        <v>7.0190000000000197E-2</v>
      </c>
      <c r="F22" s="493">
        <f t="shared" si="2"/>
        <v>5</v>
      </c>
      <c r="G22" s="494">
        <f t="shared" si="3"/>
        <v>6.1999999999999993</v>
      </c>
      <c r="H22" s="501">
        <v>6942710</v>
      </c>
      <c r="I22" s="494">
        <f t="shared" si="4"/>
        <v>6.2</v>
      </c>
      <c r="J22" s="495">
        <f t="shared" si="5"/>
        <v>9.9299999999997723E-3</v>
      </c>
      <c r="K22" s="496">
        <f t="shared" si="6"/>
        <v>19</v>
      </c>
      <c r="L22" s="494">
        <f t="shared" si="7"/>
        <v>6.2</v>
      </c>
      <c r="M22" s="497">
        <f>IF(C22="-",0-H22,C22-H22)</f>
        <v>196200</v>
      </c>
      <c r="N22" s="498">
        <f t="shared" si="10"/>
        <v>2.8</v>
      </c>
      <c r="O22" s="246"/>
      <c r="P22" s="246"/>
    </row>
    <row r="23" spans="1:19" s="247" customFormat="1" ht="33" customHeight="1">
      <c r="A23" s="488">
        <v>19</v>
      </c>
      <c r="B23" s="489" t="s">
        <v>50</v>
      </c>
      <c r="C23" s="490">
        <v>1000000</v>
      </c>
      <c r="D23" s="491">
        <f t="shared" si="0"/>
        <v>0.8</v>
      </c>
      <c r="E23" s="492">
        <f t="shared" si="1"/>
        <v>6.4299999999999913E-2</v>
      </c>
      <c r="F23" s="493">
        <f t="shared" si="2"/>
        <v>6</v>
      </c>
      <c r="G23" s="494">
        <f t="shared" si="3"/>
        <v>0.9</v>
      </c>
      <c r="H23" s="490">
        <v>1000000</v>
      </c>
      <c r="I23" s="494">
        <f t="shared" si="4"/>
        <v>0.8</v>
      </c>
      <c r="J23" s="495">
        <f t="shared" si="5"/>
        <v>9.4449999999999923E-2</v>
      </c>
      <c r="K23" s="496">
        <f t="shared" si="6"/>
        <v>1</v>
      </c>
      <c r="L23" s="494">
        <f t="shared" si="7"/>
        <v>0.9</v>
      </c>
      <c r="M23" s="497">
        <f t="shared" si="8"/>
        <v>0</v>
      </c>
      <c r="N23" s="498">
        <f t="shared" si="10"/>
        <v>0</v>
      </c>
      <c r="O23" s="246"/>
      <c r="P23" s="246"/>
    </row>
    <row r="24" spans="1:19" s="247" customFormat="1" ht="33" customHeight="1">
      <c r="A24" s="488">
        <v>20</v>
      </c>
      <c r="B24" s="489" t="s">
        <v>51</v>
      </c>
      <c r="C24" s="490">
        <v>3016865</v>
      </c>
      <c r="D24" s="491">
        <f t="shared" si="0"/>
        <v>2.6</v>
      </c>
      <c r="E24" s="492">
        <f t="shared" si="1"/>
        <v>7.4799999999997091E-3</v>
      </c>
      <c r="F24" s="493">
        <f t="shared" si="2"/>
        <v>21</v>
      </c>
      <c r="G24" s="494">
        <f t="shared" si="3"/>
        <v>2.6</v>
      </c>
      <c r="H24" s="490">
        <v>3201055</v>
      </c>
      <c r="I24" s="494">
        <f t="shared" si="4"/>
        <v>2.8</v>
      </c>
      <c r="J24" s="495">
        <f t="shared" si="5"/>
        <v>6.3190000000000079E-2</v>
      </c>
      <c r="K24" s="496">
        <f t="shared" si="6"/>
        <v>6</v>
      </c>
      <c r="L24" s="494">
        <f t="shared" si="7"/>
        <v>2.9</v>
      </c>
      <c r="M24" s="497">
        <f t="shared" si="8"/>
        <v>-184190</v>
      </c>
      <c r="N24" s="498">
        <f t="shared" si="10"/>
        <v>-5.8</v>
      </c>
      <c r="O24" s="246"/>
      <c r="P24" s="246"/>
    </row>
    <row r="25" spans="1:19" s="247" customFormat="1" ht="33" customHeight="1" thickBot="1">
      <c r="A25" s="502">
        <v>21</v>
      </c>
      <c r="B25" s="503" t="s">
        <v>52</v>
      </c>
      <c r="C25" s="504">
        <v>9210400</v>
      </c>
      <c r="D25" s="505">
        <f t="shared" si="0"/>
        <v>7.9</v>
      </c>
      <c r="E25" s="506">
        <f t="shared" si="1"/>
        <v>6.0579999999999856E-2</v>
      </c>
      <c r="F25" s="507">
        <f t="shared" si="2"/>
        <v>7</v>
      </c>
      <c r="G25" s="508">
        <f t="shared" si="3"/>
        <v>8</v>
      </c>
      <c r="H25" s="504">
        <v>8163800</v>
      </c>
      <c r="I25" s="508">
        <f t="shared" si="4"/>
        <v>7.3</v>
      </c>
      <c r="J25" s="509">
        <f t="shared" si="5"/>
        <v>2.1399999999998087E-3</v>
      </c>
      <c r="K25" s="510">
        <f t="shared" si="6"/>
        <v>21</v>
      </c>
      <c r="L25" s="508">
        <f t="shared" si="7"/>
        <v>7.3</v>
      </c>
      <c r="M25" s="511">
        <f t="shared" si="8"/>
        <v>1046600</v>
      </c>
      <c r="N25" s="512">
        <f>IF(C25="-","　皆減",ROUND((C25/H25*100)-100,1))</f>
        <v>12.8</v>
      </c>
      <c r="O25" s="246"/>
      <c r="P25" s="390">
        <v>2785400</v>
      </c>
      <c r="Q25" s="391">
        <v>3722400</v>
      </c>
      <c r="S25" s="247">
        <f>(Q25-P25)/P25</f>
        <v>0.33639692683277089</v>
      </c>
    </row>
    <row r="26" spans="1:19" s="247" customFormat="1" ht="33" customHeight="1" thickTop="1">
      <c r="A26" s="709" t="s">
        <v>53</v>
      </c>
      <c r="B26" s="710"/>
      <c r="C26" s="482">
        <f>SUM(C5:C25)</f>
        <v>115700000</v>
      </c>
      <c r="D26" s="483">
        <f>SUM(D5:D25)</f>
        <v>99</v>
      </c>
      <c r="E26" s="484"/>
      <c r="F26" s="484"/>
      <c r="G26" s="485">
        <f>SUM(G5:G25)</f>
        <v>100</v>
      </c>
      <c r="H26" s="482">
        <f>SUM(H5:H25)</f>
        <v>111800000</v>
      </c>
      <c r="I26" s="485">
        <f>SUM(I5:I25)</f>
        <v>99.1</v>
      </c>
      <c r="J26" s="482"/>
      <c r="K26" s="482"/>
      <c r="L26" s="485">
        <f>SUM(L5:L25)</f>
        <v>100</v>
      </c>
      <c r="M26" s="486">
        <f>SUM(M5:M25)</f>
        <v>3900000</v>
      </c>
      <c r="N26" s="487">
        <f>ROUND((C26/H26*100)-100,1)</f>
        <v>3.5</v>
      </c>
      <c r="O26" s="246"/>
      <c r="P26" s="246">
        <v>100</v>
      </c>
    </row>
    <row r="27" spans="1:19">
      <c r="D27" s="241">
        <f>ROUND((100-D26)*10,0)</f>
        <v>10</v>
      </c>
      <c r="I27" s="241">
        <f>ROUND((100-I26)*10,0)</f>
        <v>9</v>
      </c>
    </row>
    <row r="31" spans="1:19">
      <c r="A31" s="711"/>
      <c r="B31" s="711"/>
      <c r="C31" s="711"/>
      <c r="D31" s="711"/>
      <c r="E31" s="711"/>
      <c r="F31" s="711"/>
      <c r="G31" s="711"/>
      <c r="H31" s="711"/>
      <c r="I31" s="711"/>
      <c r="J31" s="711"/>
      <c r="K31" s="711"/>
      <c r="L31" s="711"/>
      <c r="M31" s="711"/>
      <c r="N31" s="711"/>
    </row>
    <row r="47" spans="46:8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row>
    <row r="48" spans="46:8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row>
  </sheetData>
  <mergeCells count="4">
    <mergeCell ref="A1:N1"/>
    <mergeCell ref="A4:B4"/>
    <mergeCell ref="A26:B26"/>
    <mergeCell ref="A31:N31"/>
  </mergeCells>
  <phoneticPr fontId="4"/>
  <printOptions horizontalCentered="1"/>
  <pageMargins left="0.19685039370078741" right="0.19685039370078741" top="0.55118110236220474" bottom="0.47244094488188981" header="0.51181102362204722" footer="0.51181102362204722"/>
  <pageSetup paperSize="9" scale="95" orientation="portrait" cellComments="asDisplayed"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D59"/>
  <sheetViews>
    <sheetView view="pageBreakPreview" topLeftCell="A7" zoomScale="85" zoomScaleNormal="100" zoomScaleSheetLayoutView="85" workbookViewId="0">
      <selection activeCell="G66" sqref="G66"/>
    </sheetView>
  </sheetViews>
  <sheetFormatPr defaultColWidth="9" defaultRowHeight="14.25"/>
  <cols>
    <col min="1" max="12" width="3.625" style="1" customWidth="1"/>
    <col min="13" max="14" width="3.625" style="3" customWidth="1"/>
    <col min="15" max="26" width="3.625" style="1" customWidth="1"/>
    <col min="27" max="27" width="4.5" style="1" bestFit="1" customWidth="1"/>
    <col min="28" max="28" width="3.625" style="1" customWidth="1"/>
    <col min="29" max="29" width="9" style="1"/>
    <col min="30" max="30" width="11.125" style="1" bestFit="1" customWidth="1"/>
    <col min="31" max="42" width="6.25" style="1" customWidth="1"/>
    <col min="43" max="16384" width="9" style="1"/>
  </cols>
  <sheetData>
    <row r="1" spans="1:28" s="83" customFormat="1" ht="18.75">
      <c r="A1" s="82"/>
      <c r="B1" s="82"/>
      <c r="G1" s="84"/>
    </row>
    <row r="2" spans="1:28" s="83" customFormat="1" ht="18.75">
      <c r="A2" s="157" t="s">
        <v>252</v>
      </c>
      <c r="B2" s="157"/>
      <c r="C2" s="158"/>
      <c r="D2" s="158"/>
      <c r="E2" s="158"/>
      <c r="F2" s="158"/>
      <c r="G2" s="159"/>
      <c r="H2" s="158"/>
      <c r="I2" s="158"/>
      <c r="J2" s="158"/>
      <c r="K2" s="158"/>
      <c r="L2" s="158"/>
      <c r="M2" s="158"/>
      <c r="N2" s="158"/>
      <c r="O2" s="158"/>
      <c r="P2" s="158"/>
      <c r="Q2" s="158"/>
      <c r="R2" s="158"/>
      <c r="S2" s="158"/>
      <c r="T2" s="158"/>
      <c r="U2" s="158"/>
      <c r="V2" s="158"/>
      <c r="W2" s="158"/>
      <c r="X2" s="158"/>
      <c r="Y2" s="158"/>
      <c r="Z2" s="158"/>
      <c r="AA2" s="158"/>
      <c r="AB2" s="158"/>
    </row>
    <row r="3" spans="1:28" s="83" customFormat="1" ht="17.25">
      <c r="A3" s="158"/>
      <c r="B3" s="158"/>
      <c r="C3" s="158"/>
      <c r="D3" s="158"/>
      <c r="E3" s="158"/>
      <c r="F3" s="158"/>
      <c r="G3" s="159"/>
      <c r="H3" s="158"/>
      <c r="I3" s="158"/>
      <c r="J3" s="158"/>
      <c r="K3" s="158"/>
      <c r="L3" s="158"/>
      <c r="M3" s="158"/>
      <c r="N3" s="158"/>
      <c r="O3" s="158"/>
      <c r="P3" s="158"/>
      <c r="Q3" s="158"/>
      <c r="R3" s="158"/>
      <c r="S3" s="158"/>
      <c r="T3" s="158"/>
      <c r="U3" s="158"/>
      <c r="V3" s="158"/>
      <c r="W3" s="158"/>
      <c r="X3" s="158"/>
      <c r="Y3" s="158"/>
      <c r="Z3" s="160"/>
      <c r="AA3" s="160"/>
      <c r="AB3" s="160" t="s">
        <v>205</v>
      </c>
    </row>
    <row r="4" spans="1:28" s="83" customFormat="1" ht="17.25">
      <c r="A4" s="158"/>
      <c r="B4" s="158"/>
      <c r="C4" s="158"/>
      <c r="D4" s="158"/>
      <c r="E4" s="161"/>
      <c r="F4" s="158"/>
      <c r="G4" s="160"/>
      <c r="H4" s="158"/>
      <c r="I4" s="158"/>
      <c r="J4" s="158"/>
      <c r="K4" s="158"/>
      <c r="L4" s="158"/>
      <c r="M4" s="158"/>
      <c r="N4" s="158"/>
      <c r="O4" s="158"/>
      <c r="P4" s="158"/>
      <c r="Q4" s="158"/>
      <c r="R4" s="158"/>
      <c r="S4" s="158"/>
      <c r="T4" s="158"/>
      <c r="U4" s="158"/>
      <c r="V4" s="158"/>
      <c r="W4" s="158"/>
      <c r="X4" s="158"/>
      <c r="Y4" s="158"/>
      <c r="Z4" s="158"/>
      <c r="AA4" s="158"/>
      <c r="AB4" s="158"/>
    </row>
    <row r="5" spans="1:28" s="83" customFormat="1" ht="17.25">
      <c r="A5" s="158"/>
      <c r="B5" s="158"/>
      <c r="C5" s="158"/>
      <c r="D5" s="158"/>
      <c r="E5" s="158"/>
      <c r="F5" s="158"/>
      <c r="G5" s="159"/>
      <c r="H5" s="158"/>
      <c r="I5" s="158"/>
      <c r="J5" s="158"/>
      <c r="K5" s="158"/>
      <c r="L5" s="158"/>
      <c r="M5" s="158"/>
      <c r="N5" s="158"/>
      <c r="O5" s="158"/>
      <c r="P5" s="158"/>
      <c r="Q5" s="158"/>
      <c r="R5" s="158"/>
      <c r="S5" s="158"/>
      <c r="T5" s="158"/>
      <c r="U5" s="158"/>
      <c r="V5" s="158"/>
      <c r="W5" s="158"/>
      <c r="X5" s="158"/>
      <c r="Y5" s="158"/>
      <c r="Z5" s="158"/>
      <c r="AA5" s="158"/>
      <c r="AB5" s="158"/>
    </row>
    <row r="6" spans="1:28" s="83" customFormat="1" ht="17.25">
      <c r="A6" s="158"/>
      <c r="B6" s="158"/>
      <c r="C6" s="158"/>
      <c r="D6" s="158"/>
      <c r="E6" s="158"/>
      <c r="F6" s="158"/>
      <c r="G6" s="159"/>
      <c r="H6" s="158"/>
      <c r="I6" s="158"/>
      <c r="J6" s="158"/>
      <c r="K6" s="158"/>
      <c r="L6" s="162"/>
      <c r="M6" s="163"/>
      <c r="N6" s="164"/>
      <c r="O6" s="158"/>
      <c r="P6" s="158"/>
      <c r="Q6" s="158"/>
      <c r="R6" s="158"/>
      <c r="S6" s="158"/>
      <c r="T6" s="158"/>
      <c r="U6" s="158"/>
      <c r="V6" s="158"/>
      <c r="W6" s="158"/>
      <c r="X6" s="165" t="s">
        <v>104</v>
      </c>
      <c r="Y6" s="166"/>
      <c r="Z6" s="716">
        <f>グラフデータ!AB27</f>
        <v>2.6999999999999913E-2</v>
      </c>
      <c r="AA6" s="716"/>
      <c r="AB6" s="717"/>
    </row>
    <row r="7" spans="1:28" s="83" customFormat="1" ht="17.25">
      <c r="A7" s="167"/>
      <c r="B7" s="158"/>
      <c r="C7" s="158"/>
      <c r="D7" s="158"/>
      <c r="E7" s="158"/>
      <c r="F7" s="168"/>
      <c r="G7" s="169"/>
      <c r="H7" s="158"/>
      <c r="I7" s="158"/>
      <c r="J7" s="158"/>
      <c r="K7" s="158"/>
      <c r="L7" s="170"/>
      <c r="M7" s="171"/>
      <c r="N7" s="172"/>
      <c r="O7" s="158"/>
      <c r="P7" s="158"/>
      <c r="Q7" s="158"/>
      <c r="R7" s="158"/>
      <c r="S7" s="158"/>
      <c r="T7" s="158"/>
      <c r="U7" s="158"/>
      <c r="V7" s="158"/>
      <c r="W7" s="158"/>
      <c r="X7" s="158"/>
      <c r="Y7" s="170"/>
      <c r="Z7" s="173"/>
      <c r="AA7" s="173"/>
      <c r="AB7" s="173"/>
    </row>
    <row r="8" spans="1:28" s="83" customFormat="1" ht="17.25">
      <c r="A8" s="158"/>
      <c r="B8" s="158"/>
      <c r="C8" s="158"/>
      <c r="D8" s="158"/>
      <c r="E8" s="158"/>
      <c r="F8" s="158"/>
      <c r="G8" s="159"/>
      <c r="H8" s="158"/>
      <c r="I8" s="158"/>
      <c r="J8" s="158"/>
      <c r="K8" s="158"/>
      <c r="L8" s="170"/>
      <c r="M8" s="171"/>
      <c r="N8" s="172"/>
      <c r="O8" s="158"/>
      <c r="P8" s="158"/>
      <c r="Q8" s="158"/>
      <c r="R8" s="158"/>
      <c r="S8" s="158"/>
      <c r="T8" s="158"/>
      <c r="U8" s="158"/>
      <c r="V8" s="158"/>
      <c r="W8" s="158"/>
      <c r="X8" s="158"/>
      <c r="Y8" s="170"/>
      <c r="Z8" s="173"/>
      <c r="AA8" s="173"/>
      <c r="AB8" s="173"/>
    </row>
    <row r="9" spans="1:28" s="83" customFormat="1" ht="17.25">
      <c r="A9" s="158"/>
      <c r="B9" s="158"/>
      <c r="C9" s="158"/>
      <c r="D9" s="158"/>
      <c r="E9" s="158"/>
      <c r="F9" s="158"/>
      <c r="G9" s="159"/>
      <c r="H9" s="158"/>
      <c r="I9" s="158"/>
      <c r="J9" s="158"/>
      <c r="K9" s="158"/>
      <c r="L9" s="162"/>
      <c r="M9" s="163"/>
      <c r="N9" s="164"/>
      <c r="O9" s="158"/>
      <c r="P9" s="158"/>
      <c r="Q9" s="158"/>
      <c r="R9" s="158"/>
      <c r="S9" s="158"/>
      <c r="T9" s="158"/>
      <c r="U9" s="158"/>
      <c r="V9" s="158"/>
      <c r="W9" s="158"/>
      <c r="X9" s="165" t="s">
        <v>104</v>
      </c>
      <c r="Y9" s="166"/>
      <c r="Z9" s="716">
        <f>グラフデータ!AA27</f>
        <v>5.4999999999999938E-2</v>
      </c>
      <c r="AA9" s="716"/>
      <c r="AB9" s="717"/>
    </row>
    <row r="10" spans="1:28" s="83" customFormat="1" ht="17.25">
      <c r="A10" s="158"/>
      <c r="B10" s="158"/>
      <c r="C10" s="158"/>
      <c r="D10" s="158"/>
      <c r="E10" s="158"/>
      <c r="F10" s="158"/>
      <c r="G10" s="159"/>
      <c r="H10" s="158"/>
      <c r="I10" s="158"/>
      <c r="J10" s="158"/>
      <c r="K10" s="158"/>
      <c r="L10" s="170"/>
      <c r="M10" s="171"/>
      <c r="N10" s="172"/>
      <c r="O10" s="158"/>
      <c r="P10" s="158"/>
      <c r="Q10" s="158"/>
      <c r="R10" s="158"/>
      <c r="S10" s="158"/>
      <c r="T10" s="158"/>
      <c r="U10" s="158"/>
      <c r="V10" s="158"/>
      <c r="W10" s="158"/>
      <c r="X10" s="158"/>
      <c r="Y10" s="170"/>
      <c r="Z10" s="173"/>
      <c r="AA10" s="173"/>
      <c r="AB10" s="173"/>
    </row>
    <row r="11" spans="1:28" s="83" customFormat="1" ht="17.25">
      <c r="A11" s="167"/>
      <c r="B11" s="158"/>
      <c r="C11" s="158"/>
      <c r="D11" s="158"/>
      <c r="E11" s="158"/>
      <c r="F11" s="158"/>
      <c r="G11" s="169"/>
      <c r="H11" s="158"/>
      <c r="I11" s="158"/>
      <c r="J11" s="158"/>
      <c r="K11" s="158"/>
      <c r="L11" s="170"/>
      <c r="M11" s="171"/>
      <c r="N11" s="172"/>
      <c r="O11" s="158"/>
      <c r="P11" s="158"/>
      <c r="Q11" s="158"/>
      <c r="R11" s="158"/>
      <c r="S11" s="158"/>
      <c r="T11" s="158"/>
      <c r="U11" s="158"/>
      <c r="V11" s="158"/>
      <c r="W11" s="158"/>
      <c r="X11" s="158"/>
      <c r="Y11" s="170"/>
      <c r="Z11" s="173"/>
      <c r="AA11" s="173"/>
      <c r="AB11" s="173"/>
    </row>
    <row r="12" spans="1:28" s="83" customFormat="1" ht="17.25">
      <c r="A12" s="167"/>
      <c r="B12" s="158"/>
      <c r="C12" s="158"/>
      <c r="D12" s="158"/>
      <c r="E12" s="158"/>
      <c r="F12" s="158"/>
      <c r="G12" s="159"/>
      <c r="H12" s="158"/>
      <c r="I12" s="158"/>
      <c r="J12" s="158"/>
      <c r="K12" s="158"/>
      <c r="L12" s="162"/>
      <c r="M12" s="163"/>
      <c r="N12" s="164"/>
      <c r="O12" s="158"/>
      <c r="P12" s="158"/>
      <c r="Q12" s="158"/>
      <c r="R12" s="158"/>
      <c r="S12" s="158"/>
      <c r="T12" s="158"/>
      <c r="U12" s="158"/>
      <c r="V12" s="158"/>
      <c r="W12" s="158"/>
      <c r="X12" s="165" t="s">
        <v>104</v>
      </c>
      <c r="Y12" s="166"/>
      <c r="Z12" s="714">
        <f>グラフデータ!Z27</f>
        <v>3.499999999999992E-2</v>
      </c>
      <c r="AA12" s="714"/>
      <c r="AB12" s="715"/>
    </row>
    <row r="13" spans="1:28" s="83" customFormat="1" ht="17.25">
      <c r="A13" s="158"/>
      <c r="B13" s="158"/>
      <c r="C13" s="158"/>
      <c r="D13" s="158"/>
      <c r="E13" s="158"/>
      <c r="F13" s="158"/>
      <c r="G13" s="159"/>
      <c r="H13" s="158"/>
      <c r="I13" s="158"/>
      <c r="J13" s="158"/>
      <c r="K13" s="158"/>
      <c r="L13" s="158"/>
      <c r="M13" s="158"/>
      <c r="N13" s="158"/>
      <c r="O13" s="158"/>
      <c r="P13" s="158"/>
      <c r="Q13" s="158"/>
      <c r="R13" s="158"/>
      <c r="S13" s="158"/>
      <c r="T13" s="158"/>
      <c r="U13" s="158"/>
      <c r="V13" s="158"/>
      <c r="W13" s="158"/>
      <c r="X13" s="158"/>
      <c r="Y13" s="158"/>
      <c r="Z13" s="158"/>
      <c r="AA13" s="158"/>
      <c r="AB13" s="158"/>
    </row>
    <row r="14" spans="1:28" s="83" customFormat="1" ht="17.25">
      <c r="A14" s="158"/>
      <c r="B14" s="158"/>
      <c r="C14" s="158"/>
      <c r="D14" s="158"/>
      <c r="E14" s="158"/>
      <c r="F14" s="158"/>
      <c r="G14" s="159"/>
      <c r="H14" s="158"/>
      <c r="I14" s="158"/>
      <c r="J14" s="158"/>
      <c r="K14" s="158"/>
      <c r="L14" s="158"/>
      <c r="M14" s="158"/>
      <c r="N14" s="158"/>
      <c r="O14" s="158"/>
      <c r="P14" s="158"/>
      <c r="Q14" s="158"/>
      <c r="R14" s="158"/>
      <c r="S14" s="158"/>
      <c r="T14" s="158"/>
      <c r="U14" s="158"/>
      <c r="V14" s="158"/>
      <c r="W14" s="158"/>
      <c r="X14" s="158"/>
      <c r="Y14" s="158"/>
      <c r="Z14" s="158"/>
      <c r="AA14" s="158"/>
      <c r="AB14" s="158"/>
    </row>
    <row r="15" spans="1:28" s="83" customFormat="1" ht="17.25">
      <c r="G15" s="84"/>
    </row>
    <row r="16" spans="1:28" s="83" customFormat="1" ht="17.25">
      <c r="A16" s="719" t="s">
        <v>128</v>
      </c>
      <c r="B16" s="719"/>
      <c r="C16" s="719"/>
      <c r="D16" s="719"/>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row>
    <row r="17" spans="1:44" s="83" customFormat="1" ht="17.25">
      <c r="A17" s="719"/>
      <c r="B17" s="719"/>
      <c r="C17" s="719"/>
      <c r="D17" s="719"/>
      <c r="E17" s="719"/>
      <c r="F17" s="719"/>
      <c r="G17" s="719"/>
      <c r="H17" s="719"/>
      <c r="I17" s="719"/>
      <c r="J17" s="719"/>
      <c r="K17" s="719"/>
      <c r="L17" s="719"/>
      <c r="M17" s="719"/>
      <c r="N17" s="719"/>
      <c r="O17" s="719"/>
      <c r="P17" s="719"/>
      <c r="Q17" s="719"/>
      <c r="R17" s="719"/>
      <c r="S17" s="719"/>
      <c r="T17" s="719"/>
      <c r="U17" s="719"/>
      <c r="V17" s="719"/>
      <c r="W17" s="719"/>
      <c r="X17" s="719"/>
      <c r="Y17" s="719"/>
      <c r="Z17" s="719"/>
      <c r="AA17" s="719"/>
      <c r="AB17" s="719"/>
    </row>
    <row r="18" spans="1:44" s="83" customFormat="1" ht="17.25">
      <c r="A18" s="146"/>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row>
    <row r="19" spans="1:44" s="83" customFormat="1" ht="17.25">
      <c r="G19" s="84"/>
      <c r="Q19" s="466" t="str">
        <f>グラフデータ!C13</f>
        <v>地方特例交付金</v>
      </c>
      <c r="R19" s="456"/>
      <c r="S19" s="456"/>
      <c r="T19" s="174"/>
      <c r="U19" s="174"/>
      <c r="V19" s="174"/>
      <c r="W19" s="718">
        <f>グラフデータ!D13</f>
        <v>1990000</v>
      </c>
      <c r="X19" s="718"/>
      <c r="Y19" s="718"/>
      <c r="Z19" s="175" t="s">
        <v>137</v>
      </c>
      <c r="AA19" s="176">
        <f>ROUND(AD19,1)</f>
        <v>1.7</v>
      </c>
      <c r="AB19" s="177" t="s">
        <v>138</v>
      </c>
      <c r="AD19" s="297">
        <f>W19/115700000*100</f>
        <v>1.7199654278305962</v>
      </c>
      <c r="AE19" s="89" t="s">
        <v>246</v>
      </c>
    </row>
    <row r="20" spans="1:44" s="83" customFormat="1" ht="15" customHeight="1">
      <c r="G20" s="84"/>
      <c r="Q20" s="467" t="str">
        <f>グラフデータ!C14</f>
        <v>使用料及び手数料</v>
      </c>
      <c r="R20" s="457"/>
      <c r="S20" s="457"/>
      <c r="T20" s="170"/>
      <c r="U20" s="170"/>
      <c r="V20" s="170"/>
      <c r="W20" s="713">
        <f>グラフデータ!D14</f>
        <v>1531925</v>
      </c>
      <c r="X20" s="713"/>
      <c r="Y20" s="713"/>
      <c r="Z20" s="179" t="s">
        <v>137</v>
      </c>
      <c r="AA20" s="180">
        <f>ROUND(AD20,1)</f>
        <v>1.3</v>
      </c>
      <c r="AB20" s="181" t="s">
        <v>138</v>
      </c>
      <c r="AD20" s="297">
        <f t="shared" ref="AD20:AD31" si="0">W20/115700000*100</f>
        <v>1.3240492653414002</v>
      </c>
      <c r="AF20" s="85"/>
      <c r="AG20" s="85"/>
      <c r="AH20" s="85"/>
      <c r="AI20" s="85"/>
      <c r="AJ20" s="85"/>
      <c r="AK20" s="712"/>
      <c r="AL20" s="712"/>
      <c r="AM20" s="712"/>
      <c r="AN20" s="86"/>
      <c r="AO20" s="87"/>
      <c r="AP20" s="89"/>
      <c r="AQ20" s="85"/>
    </row>
    <row r="21" spans="1:44" s="83" customFormat="1" ht="15" customHeight="1">
      <c r="G21" s="84"/>
      <c r="Q21" s="467" t="str">
        <f>グラフデータ!C15</f>
        <v>繰越金</v>
      </c>
      <c r="R21" s="457"/>
      <c r="S21" s="457"/>
      <c r="T21" s="170"/>
      <c r="U21" s="170"/>
      <c r="V21" s="170"/>
      <c r="W21" s="713">
        <f>グラフデータ!D15</f>
        <v>1000000</v>
      </c>
      <c r="X21" s="713"/>
      <c r="Y21" s="713"/>
      <c r="Z21" s="179" t="s">
        <v>137</v>
      </c>
      <c r="AA21" s="180">
        <f t="shared" ref="AA21:AA31" si="1">ROUND(AD21,1)</f>
        <v>0.9</v>
      </c>
      <c r="AB21" s="181" t="s">
        <v>138</v>
      </c>
      <c r="AD21" s="297">
        <f t="shared" si="0"/>
        <v>0.86430423509075205</v>
      </c>
      <c r="AE21" s="89"/>
      <c r="AF21" s="85"/>
      <c r="AG21" s="85"/>
      <c r="AH21" s="85"/>
      <c r="AI21" s="85"/>
      <c r="AJ21" s="85"/>
      <c r="AK21" s="292"/>
      <c r="AL21" s="292"/>
      <c r="AM21" s="292"/>
      <c r="AN21" s="86"/>
      <c r="AO21" s="87"/>
      <c r="AP21" s="89"/>
      <c r="AQ21" s="85"/>
    </row>
    <row r="22" spans="1:44" s="83" customFormat="1" ht="15" customHeight="1">
      <c r="G22" s="84"/>
      <c r="Q22" s="467" t="str">
        <f>グラフデータ!C16</f>
        <v>地方譲与税</v>
      </c>
      <c r="R22" s="457"/>
      <c r="S22" s="457"/>
      <c r="T22" s="170"/>
      <c r="U22" s="170"/>
      <c r="V22" s="170"/>
      <c r="W22" s="713">
        <f>グラフデータ!D16</f>
        <v>717000</v>
      </c>
      <c r="X22" s="713"/>
      <c r="Y22" s="713"/>
      <c r="Z22" s="179" t="s">
        <v>137</v>
      </c>
      <c r="AA22" s="180">
        <f>ROUND(AD22,1)</f>
        <v>0.6</v>
      </c>
      <c r="AB22" s="181" t="s">
        <v>138</v>
      </c>
      <c r="AD22" s="297">
        <f t="shared" si="0"/>
        <v>0.61970613656006912</v>
      </c>
      <c r="AE22" s="85"/>
      <c r="AF22" s="85"/>
      <c r="AG22" s="85"/>
      <c r="AH22" s="85"/>
      <c r="AI22" s="85"/>
      <c r="AJ22" s="712"/>
      <c r="AK22" s="712"/>
      <c r="AL22" s="712"/>
      <c r="AM22" s="86"/>
      <c r="AN22" s="87"/>
      <c r="AO22" s="89"/>
      <c r="AP22" s="89"/>
      <c r="AQ22" s="85"/>
    </row>
    <row r="23" spans="1:44" s="83" customFormat="1" ht="15" customHeight="1">
      <c r="G23" s="84"/>
      <c r="Q23" s="467" t="str">
        <f>グラフデータ!C17</f>
        <v>分担金及び負担金</v>
      </c>
      <c r="R23" s="457"/>
      <c r="S23" s="457"/>
      <c r="T23" s="170"/>
      <c r="U23" s="170"/>
      <c r="V23" s="170"/>
      <c r="W23" s="713">
        <f>グラフデータ!D17</f>
        <v>532880</v>
      </c>
      <c r="X23" s="713"/>
      <c r="Y23" s="713"/>
      <c r="Z23" s="179" t="s">
        <v>137</v>
      </c>
      <c r="AA23" s="180">
        <f t="shared" si="1"/>
        <v>0.5</v>
      </c>
      <c r="AB23" s="181" t="s">
        <v>138</v>
      </c>
      <c r="AD23" s="297">
        <f t="shared" si="0"/>
        <v>0.46057044079515991</v>
      </c>
      <c r="AE23" s="85"/>
      <c r="AF23" s="85"/>
      <c r="AG23" s="85"/>
      <c r="AH23" s="85"/>
      <c r="AI23" s="85"/>
      <c r="AJ23" s="85"/>
      <c r="AK23" s="85"/>
      <c r="AL23" s="85"/>
      <c r="AM23" s="85"/>
      <c r="AN23" s="85"/>
      <c r="AO23" s="85"/>
      <c r="AP23" s="85"/>
      <c r="AQ23" s="85"/>
    </row>
    <row r="24" spans="1:44" s="83" customFormat="1" ht="15" customHeight="1">
      <c r="G24" s="84"/>
      <c r="Q24" s="467" t="str">
        <f>グラフデータ!C18</f>
        <v>法人事業税交付金</v>
      </c>
      <c r="R24" s="457"/>
      <c r="S24" s="457"/>
      <c r="T24" s="170"/>
      <c r="U24" s="170"/>
      <c r="V24" s="170"/>
      <c r="W24" s="713">
        <f>グラフデータ!D18</f>
        <v>500000</v>
      </c>
      <c r="X24" s="713"/>
      <c r="Y24" s="713"/>
      <c r="Z24" s="179" t="s">
        <v>137</v>
      </c>
      <c r="AA24" s="180">
        <f t="shared" si="1"/>
        <v>0.4</v>
      </c>
      <c r="AB24" s="181" t="s">
        <v>138</v>
      </c>
      <c r="AD24" s="297">
        <f t="shared" si="0"/>
        <v>0.43215211754537602</v>
      </c>
      <c r="AE24" s="85"/>
      <c r="AF24" s="85"/>
      <c r="AG24" s="85"/>
      <c r="AH24" s="85"/>
      <c r="AI24" s="85"/>
      <c r="AJ24" s="85"/>
      <c r="AK24" s="85"/>
      <c r="AL24" s="85"/>
      <c r="AM24" s="85"/>
      <c r="AN24" s="85"/>
      <c r="AO24" s="85"/>
      <c r="AP24" s="85"/>
      <c r="AQ24" s="85"/>
    </row>
    <row r="25" spans="1:44" s="83" customFormat="1" ht="15" customHeight="1">
      <c r="G25" s="84"/>
      <c r="Q25" s="467" t="str">
        <f>グラフデータ!C19</f>
        <v>配当割交付金</v>
      </c>
      <c r="R25" s="457"/>
      <c r="S25" s="457"/>
      <c r="T25" s="170"/>
      <c r="U25" s="170"/>
      <c r="V25" s="170"/>
      <c r="W25" s="713">
        <f>グラフデータ!D19</f>
        <v>250000</v>
      </c>
      <c r="X25" s="713"/>
      <c r="Y25" s="713"/>
      <c r="Z25" s="179" t="s">
        <v>137</v>
      </c>
      <c r="AA25" s="180">
        <f t="shared" si="1"/>
        <v>0.2</v>
      </c>
      <c r="AB25" s="181" t="s">
        <v>138</v>
      </c>
      <c r="AD25" s="297">
        <f t="shared" si="0"/>
        <v>0.21607605877268801</v>
      </c>
      <c r="AE25" s="85"/>
      <c r="AF25" s="85"/>
      <c r="AG25" s="85"/>
      <c r="AH25" s="85"/>
      <c r="AI25" s="85"/>
      <c r="AJ25" s="85"/>
      <c r="AK25" s="85"/>
      <c r="AL25" s="85"/>
      <c r="AM25" s="85"/>
      <c r="AN25" s="85"/>
      <c r="AO25" s="85"/>
      <c r="AP25" s="85"/>
      <c r="AQ25" s="85"/>
    </row>
    <row r="26" spans="1:44" s="83" customFormat="1" ht="15" customHeight="1">
      <c r="G26" s="84"/>
      <c r="Q26" s="467" t="str">
        <f>グラフデータ!C20</f>
        <v>株式等譲渡所得割交付金</v>
      </c>
      <c r="R26" s="457"/>
      <c r="S26" s="457"/>
      <c r="T26" s="170"/>
      <c r="U26" s="170"/>
      <c r="V26" s="170"/>
      <c r="W26" s="713">
        <f>グラフデータ!D20</f>
        <v>200000</v>
      </c>
      <c r="X26" s="713"/>
      <c r="Y26" s="713"/>
      <c r="Z26" s="179" t="s">
        <v>137</v>
      </c>
      <c r="AA26" s="180">
        <f t="shared" si="1"/>
        <v>0.2</v>
      </c>
      <c r="AB26" s="181" t="s">
        <v>138</v>
      </c>
      <c r="AC26" s="85"/>
      <c r="AD26" s="297">
        <f t="shared" si="0"/>
        <v>0.17286084701815038</v>
      </c>
      <c r="AE26" s="85"/>
      <c r="AF26" s="85"/>
      <c r="AG26" s="85"/>
      <c r="AH26" s="85"/>
      <c r="AI26" s="85"/>
      <c r="AJ26" s="712"/>
      <c r="AK26" s="712"/>
      <c r="AL26" s="712"/>
      <c r="AM26" s="86"/>
      <c r="AN26" s="87"/>
      <c r="AO26" s="89"/>
      <c r="AP26" s="85"/>
      <c r="AQ26" s="85"/>
      <c r="AR26" s="85"/>
    </row>
    <row r="27" spans="1:44" s="83" customFormat="1" ht="15" customHeight="1">
      <c r="G27" s="84"/>
      <c r="Q27" s="467" t="str">
        <f>グラフデータ!C22</f>
        <v>環境性能割交付金</v>
      </c>
      <c r="R27" s="457"/>
      <c r="S27" s="457"/>
      <c r="T27" s="170"/>
      <c r="U27" s="170"/>
      <c r="V27" s="170"/>
      <c r="W27" s="713">
        <f>グラフデータ!D22</f>
        <v>170000</v>
      </c>
      <c r="X27" s="713"/>
      <c r="Y27" s="713"/>
      <c r="Z27" s="179" t="s">
        <v>137</v>
      </c>
      <c r="AA27" s="180">
        <f>ROUND(AD27,1)</f>
        <v>0.1</v>
      </c>
      <c r="AB27" s="181" t="s">
        <v>138</v>
      </c>
      <c r="AD27" s="297">
        <f t="shared" si="0"/>
        <v>0.14693171996542784</v>
      </c>
      <c r="AE27" s="89"/>
      <c r="AF27" s="85"/>
      <c r="AG27" s="85"/>
      <c r="AH27" s="85"/>
      <c r="AI27" s="85"/>
      <c r="AJ27" s="85"/>
      <c r="AK27" s="712"/>
      <c r="AL27" s="712"/>
      <c r="AM27" s="712"/>
      <c r="AN27" s="86"/>
      <c r="AO27" s="87"/>
      <c r="AP27" s="89"/>
      <c r="AQ27" s="85"/>
    </row>
    <row r="28" spans="1:44" s="83" customFormat="1" ht="15" customHeight="1">
      <c r="G28" s="84"/>
      <c r="Q28" s="467" t="str">
        <f>グラフデータ!C23</f>
        <v>財産収入</v>
      </c>
      <c r="R28" s="457"/>
      <c r="S28" s="457"/>
      <c r="T28" s="170"/>
      <c r="U28" s="170"/>
      <c r="V28" s="170"/>
      <c r="W28" s="713">
        <f>グラフデータ!D23</f>
        <v>103010</v>
      </c>
      <c r="X28" s="713"/>
      <c r="Y28" s="713"/>
      <c r="Z28" s="179" t="s">
        <v>137</v>
      </c>
      <c r="AA28" s="180">
        <f t="shared" si="1"/>
        <v>0.1</v>
      </c>
      <c r="AB28" s="181" t="s">
        <v>138</v>
      </c>
      <c r="AD28" s="297">
        <f t="shared" si="0"/>
        <v>8.9031979256698354E-2</v>
      </c>
      <c r="AF28" s="85"/>
      <c r="AG28" s="85"/>
      <c r="AH28" s="85"/>
      <c r="AI28" s="85"/>
      <c r="AJ28" s="85"/>
      <c r="AK28" s="712"/>
      <c r="AL28" s="712"/>
      <c r="AM28" s="712"/>
      <c r="AN28" s="86"/>
      <c r="AO28" s="87"/>
      <c r="AP28" s="89"/>
      <c r="AQ28" s="85"/>
    </row>
    <row r="29" spans="1:44" s="83" customFormat="1" ht="15" customHeight="1">
      <c r="G29" s="84"/>
      <c r="Q29" s="467" t="str">
        <f>グラフデータ!C24</f>
        <v>寄附金</v>
      </c>
      <c r="R29" s="457"/>
      <c r="S29" s="457"/>
      <c r="T29" s="170"/>
      <c r="U29" s="170"/>
      <c r="V29" s="170"/>
      <c r="W29" s="713">
        <f>グラフデータ!D24</f>
        <v>52000</v>
      </c>
      <c r="X29" s="713"/>
      <c r="Y29" s="713"/>
      <c r="Z29" s="179" t="s">
        <v>137</v>
      </c>
      <c r="AA29" s="180">
        <f>ROUND(AD29,1)</f>
        <v>0</v>
      </c>
      <c r="AB29" s="181" t="s">
        <v>138</v>
      </c>
      <c r="AD29" s="297">
        <f t="shared" si="0"/>
        <v>4.49438202247191E-2</v>
      </c>
      <c r="AE29" s="89"/>
      <c r="AF29" s="85"/>
      <c r="AG29" s="85"/>
      <c r="AH29" s="85"/>
      <c r="AI29" s="85"/>
      <c r="AJ29" s="85"/>
      <c r="AK29" s="712"/>
      <c r="AL29" s="712"/>
      <c r="AM29" s="712"/>
      <c r="AN29" s="86"/>
      <c r="AO29" s="87"/>
      <c r="AP29" s="89"/>
      <c r="AQ29" s="85"/>
    </row>
    <row r="30" spans="1:44" s="83" customFormat="1" ht="15" customHeight="1">
      <c r="G30" s="84"/>
      <c r="Q30" s="467" t="str">
        <f>グラフデータ!C25</f>
        <v>交通安全対策特別交付金</v>
      </c>
      <c r="R30" s="457"/>
      <c r="S30" s="457"/>
      <c r="T30" s="170"/>
      <c r="U30" s="170"/>
      <c r="V30" s="170"/>
      <c r="W30" s="713">
        <f>グラフデータ!D25</f>
        <v>42000</v>
      </c>
      <c r="X30" s="713"/>
      <c r="Y30" s="713"/>
      <c r="Z30" s="179" t="s">
        <v>137</v>
      </c>
      <c r="AA30" s="180">
        <f t="shared" si="1"/>
        <v>0</v>
      </c>
      <c r="AB30" s="181" t="s">
        <v>138</v>
      </c>
      <c r="AD30" s="297">
        <f t="shared" si="0"/>
        <v>3.6300777873811578E-2</v>
      </c>
      <c r="AE30" s="89"/>
      <c r="AF30" s="85"/>
      <c r="AG30" s="85"/>
      <c r="AH30" s="85"/>
      <c r="AI30" s="85"/>
      <c r="AJ30" s="85"/>
      <c r="AK30" s="712"/>
      <c r="AL30" s="712"/>
      <c r="AM30" s="712"/>
      <c r="AN30" s="86"/>
      <c r="AO30" s="87"/>
      <c r="AP30" s="89"/>
      <c r="AQ30" s="85"/>
    </row>
    <row r="31" spans="1:44" s="83" customFormat="1" ht="15" customHeight="1">
      <c r="G31" s="84"/>
      <c r="Q31" s="468" t="str">
        <f>グラフデータ!C26</f>
        <v>利子割交付金</v>
      </c>
      <c r="R31" s="458"/>
      <c r="S31" s="458"/>
      <c r="T31" s="183"/>
      <c r="U31" s="183"/>
      <c r="V31" s="183"/>
      <c r="W31" s="720">
        <f>グラフデータ!D26</f>
        <v>20000</v>
      </c>
      <c r="X31" s="720"/>
      <c r="Y31" s="720"/>
      <c r="Z31" s="184" t="s">
        <v>139</v>
      </c>
      <c r="AA31" s="185">
        <f t="shared" si="1"/>
        <v>0</v>
      </c>
      <c r="AB31" s="186" t="s">
        <v>140</v>
      </c>
      <c r="AD31" s="297">
        <f t="shared" si="0"/>
        <v>1.7286084701815037E-2</v>
      </c>
      <c r="AE31" s="85"/>
      <c r="AF31" s="85"/>
      <c r="AG31" s="85"/>
      <c r="AH31" s="85"/>
      <c r="AI31" s="85"/>
      <c r="AJ31" s="85"/>
      <c r="AK31" s="85"/>
      <c r="AL31" s="85"/>
      <c r="AM31" s="85"/>
      <c r="AN31" s="85"/>
      <c r="AO31" s="85"/>
      <c r="AP31" s="85"/>
      <c r="AQ31" s="85"/>
    </row>
    <row r="32" spans="1:44" s="83" customFormat="1" ht="15" customHeight="1">
      <c r="G32" s="84"/>
      <c r="AD32" s="85"/>
      <c r="AE32" s="85"/>
      <c r="AF32" s="85"/>
      <c r="AG32" s="85"/>
      <c r="AH32" s="85"/>
      <c r="AI32" s="85"/>
      <c r="AJ32" s="85"/>
      <c r="AK32" s="85"/>
      <c r="AL32" s="85"/>
      <c r="AM32" s="85"/>
      <c r="AN32" s="85"/>
      <c r="AO32" s="85"/>
      <c r="AP32" s="85"/>
      <c r="AQ32" s="85"/>
    </row>
    <row r="33" spans="7:82" s="83" customFormat="1" ht="15" customHeight="1">
      <c r="G33" s="84"/>
    </row>
    <row r="34" spans="7:82" s="83" customFormat="1" ht="15" customHeight="1">
      <c r="G34" s="84"/>
    </row>
    <row r="35" spans="7:82" s="83" customFormat="1" ht="15" customHeight="1">
      <c r="G35" s="84"/>
    </row>
    <row r="36" spans="7:82" s="83" customFormat="1" ht="15" customHeight="1">
      <c r="G36" s="84"/>
    </row>
    <row r="37" spans="7:82" s="83" customFormat="1" ht="15" customHeight="1">
      <c r="G37" s="84"/>
    </row>
    <row r="38" spans="7:82" s="83" customFormat="1" ht="15" customHeight="1">
      <c r="G38" s="84"/>
    </row>
    <row r="39" spans="7:82" s="83" customFormat="1" ht="15" customHeight="1">
      <c r="G39" s="84"/>
    </row>
    <row r="40" spans="7:82" s="83" customFormat="1" ht="15" customHeight="1">
      <c r="G40" s="84"/>
    </row>
    <row r="41" spans="7:82" s="83" customFormat="1" ht="15" customHeight="1">
      <c r="G41" s="84"/>
    </row>
    <row r="42" spans="7:82" s="83" customFormat="1" ht="15" customHeight="1">
      <c r="G42" s="84"/>
    </row>
    <row r="43" spans="7:82" s="83" customFormat="1" ht="15" customHeight="1">
      <c r="G43" s="84"/>
    </row>
    <row r="44" spans="7:82" s="83" customFormat="1" ht="15" customHeight="1">
      <c r="G44" s="84"/>
    </row>
    <row r="45" spans="7:82" s="83" customFormat="1" ht="15" customHeight="1">
      <c r="G45" s="84"/>
    </row>
    <row r="46" spans="7:82" s="83" customFormat="1" ht="15" customHeight="1">
      <c r="G46" s="84"/>
    </row>
    <row r="47" spans="7:82" s="83" customFormat="1" ht="15" customHeight="1">
      <c r="G47" s="84"/>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6"/>
      <c r="BR47" s="326"/>
      <c r="BS47" s="326"/>
      <c r="BT47" s="326"/>
      <c r="BU47" s="326"/>
      <c r="BV47" s="326"/>
      <c r="BW47" s="326"/>
      <c r="BX47" s="326"/>
      <c r="BY47" s="326"/>
      <c r="BZ47" s="326"/>
      <c r="CA47" s="326"/>
      <c r="CB47" s="326"/>
      <c r="CC47" s="326"/>
      <c r="CD47" s="326"/>
    </row>
    <row r="48" spans="7:82" s="83" customFormat="1" ht="15" customHeight="1">
      <c r="G48" s="84"/>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26"/>
    </row>
    <row r="49" spans="7:15" s="83" customFormat="1" ht="15" customHeight="1">
      <c r="G49" s="84"/>
    </row>
    <row r="50" spans="7:15" s="83" customFormat="1" ht="15" customHeight="1">
      <c r="G50" s="84"/>
    </row>
    <row r="51" spans="7:15" s="83" customFormat="1" ht="15" customHeight="1">
      <c r="G51" s="84"/>
    </row>
    <row r="52" spans="7:15" s="83" customFormat="1" ht="15" customHeight="1">
      <c r="G52" s="84"/>
      <c r="O52" s="88"/>
    </row>
    <row r="53" spans="7:15">
      <c r="O53" s="88"/>
    </row>
    <row r="54" spans="7:15">
      <c r="O54" s="88"/>
    </row>
    <row r="55" spans="7:15">
      <c r="O55" s="88"/>
    </row>
    <row r="56" spans="7:15">
      <c r="O56" s="88"/>
    </row>
    <row r="57" spans="7:15">
      <c r="O57" s="88"/>
    </row>
    <row r="58" spans="7:15">
      <c r="O58" s="88"/>
    </row>
    <row r="59" spans="7:15">
      <c r="O59" s="88"/>
    </row>
  </sheetData>
  <mergeCells count="24">
    <mergeCell ref="W31:Y31"/>
    <mergeCell ref="W20:Y20"/>
    <mergeCell ref="W22:Y22"/>
    <mergeCell ref="W23:Y23"/>
    <mergeCell ref="W24:Y24"/>
    <mergeCell ref="W25:Y25"/>
    <mergeCell ref="W29:Y29"/>
    <mergeCell ref="W26:Y26"/>
    <mergeCell ref="Z12:AB12"/>
    <mergeCell ref="AK28:AM28"/>
    <mergeCell ref="Z9:AB9"/>
    <mergeCell ref="Z6:AB6"/>
    <mergeCell ref="W27:Y27"/>
    <mergeCell ref="AK20:AM20"/>
    <mergeCell ref="W19:Y19"/>
    <mergeCell ref="AJ22:AL22"/>
    <mergeCell ref="A16:AB17"/>
    <mergeCell ref="W21:Y21"/>
    <mergeCell ref="AK30:AM30"/>
    <mergeCell ref="AJ26:AL26"/>
    <mergeCell ref="AK27:AM27"/>
    <mergeCell ref="W28:Y28"/>
    <mergeCell ref="W30:Y30"/>
    <mergeCell ref="AK29:AM29"/>
  </mergeCells>
  <phoneticPr fontId="6"/>
  <printOptions horizontalCentered="1"/>
  <pageMargins left="0.78740157480314965" right="0.31496062992125984" top="0.78740157480314965" bottom="0.31496062992125984" header="0.51181102362204722" footer="0.51181102362204722"/>
  <pageSetup paperSize="9" scale="91"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CD48"/>
  <sheetViews>
    <sheetView view="pageBreakPreview" zoomScale="115" zoomScaleNormal="100" zoomScaleSheetLayoutView="115" zoomScalePageLayoutView="130" workbookViewId="0">
      <selection activeCell="G66" sqref="G66"/>
    </sheetView>
  </sheetViews>
  <sheetFormatPr defaultColWidth="9" defaultRowHeight="14.25" outlineLevelCol="1"/>
  <cols>
    <col min="1" max="1" width="4" style="241" customWidth="1"/>
    <col min="2" max="2" width="20.375" style="241" customWidth="1"/>
    <col min="3" max="3" width="14.625" style="241" customWidth="1"/>
    <col min="4" max="4" width="5.125" style="241" hidden="1" customWidth="1" outlineLevel="1"/>
    <col min="5" max="5" width="8.875" style="241" hidden="1" customWidth="1" outlineLevel="1"/>
    <col min="6" max="6" width="11.875" style="241" hidden="1" customWidth="1" outlineLevel="1"/>
    <col min="7" max="7" width="7.875" style="241" customWidth="1" collapsed="1"/>
    <col min="8" max="8" width="14.625" style="241" customWidth="1"/>
    <col min="9" max="9" width="6.125" style="241" hidden="1" customWidth="1" outlineLevel="1"/>
    <col min="10" max="10" width="9.625" style="241" hidden="1" customWidth="1" outlineLevel="1"/>
    <col min="11" max="11" width="5.5" style="241" hidden="1" customWidth="1" outlineLevel="1"/>
    <col min="12" max="12" width="7.875" style="241" customWidth="1" collapsed="1"/>
    <col min="13" max="13" width="14.625" style="241" customWidth="1"/>
    <col min="14" max="14" width="8.875" style="241" customWidth="1"/>
    <col min="15" max="15" width="12.125" style="241" customWidth="1"/>
    <col min="16" max="16" width="11.625" style="241" bestFit="1" customWidth="1"/>
    <col min="17" max="16384" width="9" style="241"/>
  </cols>
  <sheetData>
    <row r="1" spans="1:16" ht="31.5" customHeight="1">
      <c r="O1" s="196"/>
      <c r="P1" s="196"/>
    </row>
    <row r="2" spans="1:16" ht="31.5" customHeight="1">
      <c r="B2" s="242"/>
      <c r="O2" s="200"/>
      <c r="P2" s="158"/>
    </row>
    <row r="3" spans="1:16" ht="31.5" customHeight="1">
      <c r="A3" s="241" t="s">
        <v>54</v>
      </c>
      <c r="N3" s="248" t="s">
        <v>43</v>
      </c>
      <c r="O3" s="245"/>
      <c r="P3" s="205" t="s">
        <v>182</v>
      </c>
    </row>
    <row r="4" spans="1:16" s="247" customFormat="1" ht="29.25" customHeight="1">
      <c r="A4" s="707" t="s">
        <v>14</v>
      </c>
      <c r="B4" s="708"/>
      <c r="C4" s="513" t="s">
        <v>76</v>
      </c>
      <c r="D4" s="513" t="s">
        <v>16</v>
      </c>
      <c r="E4" s="513" t="s">
        <v>17</v>
      </c>
      <c r="F4" s="513" t="s">
        <v>176</v>
      </c>
      <c r="G4" s="513" t="s">
        <v>15</v>
      </c>
      <c r="H4" s="513" t="s">
        <v>44</v>
      </c>
      <c r="I4" s="513" t="s">
        <v>16</v>
      </c>
      <c r="J4" s="513" t="s">
        <v>17</v>
      </c>
      <c r="K4" s="513" t="s">
        <v>176</v>
      </c>
      <c r="L4" s="513" t="s">
        <v>15</v>
      </c>
      <c r="M4" s="513" t="s">
        <v>12</v>
      </c>
      <c r="N4" s="513" t="s">
        <v>45</v>
      </c>
    </row>
    <row r="5" spans="1:16" s="247" customFormat="1" ht="33" customHeight="1">
      <c r="A5" s="488">
        <v>1</v>
      </c>
      <c r="B5" s="489" t="s">
        <v>30</v>
      </c>
      <c r="C5" s="490">
        <v>582492</v>
      </c>
      <c r="D5" s="494">
        <f t="shared" ref="D5:D18" si="0">ROUNDDOWN(C5/C$19*100,1)</f>
        <v>0.5</v>
      </c>
      <c r="E5" s="495">
        <f>IF(C5="-",0,ROUNDDOWN(C5/C$19*100,5)-D5)</f>
        <v>3.4499999999999531E-3</v>
      </c>
      <c r="F5" s="496">
        <f t="shared" ref="F5:F18" si="1">RANK(E5,E$5:E$18,0)</f>
        <v>13</v>
      </c>
      <c r="G5" s="494">
        <f>IF(F5&lt;=D$20,D5+0.1,D5)</f>
        <v>0.5</v>
      </c>
      <c r="H5" s="490">
        <v>583986</v>
      </c>
      <c r="I5" s="494">
        <f t="shared" ref="I5:I18" si="2">ROUNDDOWN(H5/H$19*100,1)</f>
        <v>0.5</v>
      </c>
      <c r="J5" s="495">
        <f>IF(H5="-",0,ROUNDDOWN(H5/H$19*100,5)-I5)</f>
        <v>2.2340000000000027E-2</v>
      </c>
      <c r="K5" s="496">
        <f t="shared" ref="K5:K18" si="3">RANK(J5,J$5:J$18,0)</f>
        <v>10</v>
      </c>
      <c r="L5" s="494">
        <f>IF(K5&lt;=I$20,I5+0.1,I5)</f>
        <v>0.5</v>
      </c>
      <c r="M5" s="497">
        <f>C5-H5</f>
        <v>-1494</v>
      </c>
      <c r="N5" s="498">
        <f>IF(C5="-","　皆減",ROUND((C5/H5*100)-100,1))</f>
        <v>-0.3</v>
      </c>
      <c r="O5" s="220"/>
      <c r="P5" s="249"/>
    </row>
    <row r="6" spans="1:16" s="247" customFormat="1" ht="33" customHeight="1">
      <c r="A6" s="488">
        <v>2</v>
      </c>
      <c r="B6" s="489" t="s">
        <v>31</v>
      </c>
      <c r="C6" s="490">
        <v>10949269</v>
      </c>
      <c r="D6" s="494">
        <f t="shared" si="0"/>
        <v>9.4</v>
      </c>
      <c r="E6" s="495">
        <f>IF(C6="-",0,ROUNDDOWN(C6/C$19*100,5)-D6)</f>
        <v>6.3489999999999824E-2</v>
      </c>
      <c r="F6" s="496">
        <f t="shared" si="1"/>
        <v>5</v>
      </c>
      <c r="G6" s="494">
        <f t="shared" ref="G6:G17" si="4">IF(F6&lt;=D$20,D6+0.1,D6)</f>
        <v>9.5</v>
      </c>
      <c r="H6" s="490">
        <v>11882730</v>
      </c>
      <c r="I6" s="494">
        <f t="shared" si="2"/>
        <v>10.6</v>
      </c>
      <c r="J6" s="495">
        <f>IF(H6="-",0,ROUNDDOWN(H6/H$19*100,5)-I6)</f>
        <v>2.8550000000000963E-2</v>
      </c>
      <c r="K6" s="496">
        <f t="shared" si="3"/>
        <v>8</v>
      </c>
      <c r="L6" s="494">
        <f t="shared" ref="L6:L18" si="5">IF(K6&lt;=I$20,I6+0.1,I6)</f>
        <v>10.6</v>
      </c>
      <c r="M6" s="497">
        <f t="shared" ref="M6:M18" si="6">C6-H6</f>
        <v>-933461</v>
      </c>
      <c r="N6" s="498">
        <f t="shared" ref="N6:N18" si="7">IF(C6="-","　皆減",ROUND((C6/H6*100)-100,1))</f>
        <v>-7.9</v>
      </c>
      <c r="O6" s="220"/>
      <c r="P6" s="249"/>
    </row>
    <row r="7" spans="1:16" s="247" customFormat="1" ht="33" customHeight="1">
      <c r="A7" s="488">
        <v>3</v>
      </c>
      <c r="B7" s="489" t="s">
        <v>55</v>
      </c>
      <c r="C7" s="490">
        <v>55528644</v>
      </c>
      <c r="D7" s="494">
        <f t="shared" si="0"/>
        <v>47.9</v>
      </c>
      <c r="E7" s="495">
        <f t="shared" ref="E7:E18" si="8">IF(C7="-",0,ROUNDDOWN(C7/C$19*100,5)-D7)</f>
        <v>9.3640000000000612E-2</v>
      </c>
      <c r="F7" s="496">
        <f t="shared" si="1"/>
        <v>1</v>
      </c>
      <c r="G7" s="494">
        <f t="shared" si="4"/>
        <v>48</v>
      </c>
      <c r="H7" s="490">
        <v>52126762</v>
      </c>
      <c r="I7" s="494">
        <f t="shared" si="2"/>
        <v>46.6</v>
      </c>
      <c r="J7" s="495">
        <f t="shared" ref="J7:J18" si="9">IF(H7="-",0,ROUNDDOWN(H7/H$19*100,5)-I7)</f>
        <v>2.5010000000001753E-2</v>
      </c>
      <c r="K7" s="496">
        <f t="shared" si="3"/>
        <v>9</v>
      </c>
      <c r="L7" s="494">
        <f t="shared" si="5"/>
        <v>46.6</v>
      </c>
      <c r="M7" s="497">
        <f t="shared" si="6"/>
        <v>3401882</v>
      </c>
      <c r="N7" s="498">
        <f>IF(C7="-","　皆減",ROUND((C7/H7*100)-100,1))</f>
        <v>6.5</v>
      </c>
      <c r="O7" s="220"/>
      <c r="P7" s="249"/>
    </row>
    <row r="8" spans="1:16" s="247" customFormat="1" ht="33" customHeight="1">
      <c r="A8" s="488">
        <v>4</v>
      </c>
      <c r="B8" s="489" t="s">
        <v>32</v>
      </c>
      <c r="C8" s="490">
        <v>10654617</v>
      </c>
      <c r="D8" s="494">
        <f t="shared" si="0"/>
        <v>9.1999999999999993</v>
      </c>
      <c r="E8" s="495">
        <f t="shared" si="8"/>
        <v>8.8300000000014478E-3</v>
      </c>
      <c r="F8" s="496">
        <f t="shared" si="1"/>
        <v>11</v>
      </c>
      <c r="G8" s="494">
        <f t="shared" si="4"/>
        <v>9.1999999999999993</v>
      </c>
      <c r="H8" s="490">
        <v>11374132</v>
      </c>
      <c r="I8" s="494">
        <f t="shared" si="2"/>
        <v>10.1</v>
      </c>
      <c r="J8" s="495">
        <f t="shared" si="9"/>
        <v>7.3640000000001038E-2</v>
      </c>
      <c r="K8" s="496">
        <f t="shared" si="3"/>
        <v>4</v>
      </c>
      <c r="L8" s="494">
        <f t="shared" si="5"/>
        <v>10.199999999999999</v>
      </c>
      <c r="M8" s="497">
        <f t="shared" si="6"/>
        <v>-719515</v>
      </c>
      <c r="N8" s="498">
        <f>IF(C8="-","　皆減",ROUND((C8/H8*100)-100,1))</f>
        <v>-6.3</v>
      </c>
      <c r="O8" s="220"/>
      <c r="P8" s="249"/>
    </row>
    <row r="9" spans="1:16" s="247" customFormat="1" ht="33" customHeight="1">
      <c r="A9" s="488">
        <v>5</v>
      </c>
      <c r="B9" s="489" t="s">
        <v>33</v>
      </c>
      <c r="C9" s="490">
        <v>77735</v>
      </c>
      <c r="D9" s="494">
        <f t="shared" si="0"/>
        <v>0</v>
      </c>
      <c r="E9" s="495">
        <f t="shared" si="8"/>
        <v>6.7180000000000004E-2</v>
      </c>
      <c r="F9" s="496">
        <f t="shared" si="1"/>
        <v>4</v>
      </c>
      <c r="G9" s="494">
        <f t="shared" si="4"/>
        <v>0.1</v>
      </c>
      <c r="H9" s="490">
        <v>69324</v>
      </c>
      <c r="I9" s="494">
        <f t="shared" si="2"/>
        <v>0</v>
      </c>
      <c r="J9" s="495">
        <f t="shared" si="9"/>
        <v>6.2E-2</v>
      </c>
      <c r="K9" s="496">
        <f t="shared" si="3"/>
        <v>6</v>
      </c>
      <c r="L9" s="494">
        <f t="shared" si="5"/>
        <v>0.1</v>
      </c>
      <c r="M9" s="497">
        <f t="shared" si="6"/>
        <v>8411</v>
      </c>
      <c r="N9" s="498">
        <f t="shared" si="7"/>
        <v>12.1</v>
      </c>
      <c r="O9" s="220"/>
      <c r="P9" s="249"/>
    </row>
    <row r="10" spans="1:16" s="247" customFormat="1" ht="33" customHeight="1">
      <c r="A10" s="488">
        <v>6</v>
      </c>
      <c r="B10" s="489" t="s">
        <v>56</v>
      </c>
      <c r="C10" s="490">
        <v>633315</v>
      </c>
      <c r="D10" s="494">
        <f t="shared" si="0"/>
        <v>0.5</v>
      </c>
      <c r="E10" s="495">
        <f t="shared" si="8"/>
        <v>4.7370000000000023E-2</v>
      </c>
      <c r="F10" s="496">
        <f t="shared" si="1"/>
        <v>7</v>
      </c>
      <c r="G10" s="494">
        <f t="shared" si="4"/>
        <v>0.5</v>
      </c>
      <c r="H10" s="490">
        <v>825652</v>
      </c>
      <c r="I10" s="494">
        <f t="shared" si="2"/>
        <v>0.7</v>
      </c>
      <c r="J10" s="495">
        <f t="shared" si="9"/>
        <v>3.850000000000009E-2</v>
      </c>
      <c r="K10" s="496">
        <f t="shared" si="3"/>
        <v>7</v>
      </c>
      <c r="L10" s="494">
        <f t="shared" si="5"/>
        <v>0.7</v>
      </c>
      <c r="M10" s="497">
        <f t="shared" si="6"/>
        <v>-192337</v>
      </c>
      <c r="N10" s="498">
        <f t="shared" si="7"/>
        <v>-23.3</v>
      </c>
      <c r="O10" s="406"/>
      <c r="P10" s="250"/>
    </row>
    <row r="11" spans="1:16" s="247" customFormat="1" ht="33" customHeight="1">
      <c r="A11" s="488">
        <v>7</v>
      </c>
      <c r="B11" s="489" t="s">
        <v>57</v>
      </c>
      <c r="C11" s="490">
        <v>492611</v>
      </c>
      <c r="D11" s="494">
        <f t="shared" si="0"/>
        <v>0.4</v>
      </c>
      <c r="E11" s="495">
        <f t="shared" si="8"/>
        <v>2.5760000000000005E-2</v>
      </c>
      <c r="F11" s="496">
        <f t="shared" si="1"/>
        <v>10</v>
      </c>
      <c r="G11" s="494">
        <f t="shared" si="4"/>
        <v>0.4</v>
      </c>
      <c r="H11" s="490">
        <v>422081</v>
      </c>
      <c r="I11" s="494">
        <f t="shared" si="2"/>
        <v>0.3</v>
      </c>
      <c r="J11" s="495">
        <f t="shared" si="9"/>
        <v>7.7529999999999988E-2</v>
      </c>
      <c r="K11" s="496">
        <f t="shared" si="3"/>
        <v>3</v>
      </c>
      <c r="L11" s="494">
        <f t="shared" si="5"/>
        <v>0.4</v>
      </c>
      <c r="M11" s="497">
        <f t="shared" si="6"/>
        <v>70530</v>
      </c>
      <c r="N11" s="498">
        <f t="shared" si="7"/>
        <v>16.7</v>
      </c>
      <c r="O11" s="406"/>
      <c r="P11" s="249"/>
    </row>
    <row r="12" spans="1:16" s="247" customFormat="1" ht="33" customHeight="1">
      <c r="A12" s="488">
        <v>8</v>
      </c>
      <c r="B12" s="489" t="s">
        <v>58</v>
      </c>
      <c r="C12" s="490">
        <v>9770890</v>
      </c>
      <c r="D12" s="494">
        <f t="shared" si="0"/>
        <v>8.4</v>
      </c>
      <c r="E12" s="495">
        <f t="shared" si="8"/>
        <v>4.5019999999999172E-2</v>
      </c>
      <c r="F12" s="496">
        <f t="shared" si="1"/>
        <v>8</v>
      </c>
      <c r="G12" s="494">
        <f>IF(F12&lt;=D$20,D12+0.1,D12)</f>
        <v>8.4</v>
      </c>
      <c r="H12" s="490">
        <v>9275933</v>
      </c>
      <c r="I12" s="494">
        <f t="shared" si="2"/>
        <v>8.1999999999999993</v>
      </c>
      <c r="J12" s="495">
        <f t="shared" si="9"/>
        <v>9.6890000000000143E-2</v>
      </c>
      <c r="K12" s="496">
        <f t="shared" si="3"/>
        <v>1</v>
      </c>
      <c r="L12" s="494">
        <f t="shared" si="5"/>
        <v>8.2999999999999989</v>
      </c>
      <c r="M12" s="497">
        <f t="shared" si="6"/>
        <v>494957</v>
      </c>
      <c r="N12" s="498">
        <f t="shared" si="7"/>
        <v>5.3</v>
      </c>
      <c r="O12" s="220"/>
      <c r="P12" s="249"/>
    </row>
    <row r="13" spans="1:16" s="247" customFormat="1" ht="33" customHeight="1">
      <c r="A13" s="488">
        <v>9</v>
      </c>
      <c r="B13" s="489" t="s">
        <v>59</v>
      </c>
      <c r="C13" s="490">
        <v>3993352</v>
      </c>
      <c r="D13" s="494">
        <f t="shared" si="0"/>
        <v>3.4</v>
      </c>
      <c r="E13" s="495">
        <f t="shared" si="8"/>
        <v>5.1470000000000127E-2</v>
      </c>
      <c r="F13" s="496">
        <f t="shared" si="1"/>
        <v>6</v>
      </c>
      <c r="G13" s="494">
        <f t="shared" si="4"/>
        <v>3.5</v>
      </c>
      <c r="H13" s="490">
        <v>4001700</v>
      </c>
      <c r="I13" s="494">
        <f t="shared" si="2"/>
        <v>3.5</v>
      </c>
      <c r="J13" s="495">
        <f t="shared" si="9"/>
        <v>7.9330000000000123E-2</v>
      </c>
      <c r="K13" s="496">
        <f t="shared" si="3"/>
        <v>2</v>
      </c>
      <c r="L13" s="494">
        <f t="shared" si="5"/>
        <v>3.6</v>
      </c>
      <c r="M13" s="497">
        <f t="shared" si="6"/>
        <v>-8348</v>
      </c>
      <c r="N13" s="498">
        <f t="shared" si="7"/>
        <v>-0.2</v>
      </c>
      <c r="O13" s="220"/>
      <c r="P13" s="249"/>
    </row>
    <row r="14" spans="1:16" s="247" customFormat="1" ht="33" customHeight="1">
      <c r="A14" s="488">
        <v>10</v>
      </c>
      <c r="B14" s="489" t="s">
        <v>34</v>
      </c>
      <c r="C14" s="490">
        <v>15127824</v>
      </c>
      <c r="D14" s="494">
        <f t="shared" si="0"/>
        <v>13</v>
      </c>
      <c r="E14" s="495">
        <f t="shared" si="8"/>
        <v>7.5039999999999552E-2</v>
      </c>
      <c r="F14" s="496">
        <f t="shared" si="1"/>
        <v>3</v>
      </c>
      <c r="G14" s="494">
        <f t="shared" si="4"/>
        <v>13.1</v>
      </c>
      <c r="H14" s="490">
        <v>13315148</v>
      </c>
      <c r="I14" s="494">
        <f t="shared" si="2"/>
        <v>11.9</v>
      </c>
      <c r="J14" s="495">
        <f t="shared" si="9"/>
        <v>9.7899999999988552E-3</v>
      </c>
      <c r="K14" s="496">
        <f t="shared" si="3"/>
        <v>12</v>
      </c>
      <c r="L14" s="494">
        <f t="shared" si="5"/>
        <v>11.9</v>
      </c>
      <c r="M14" s="497">
        <f t="shared" si="6"/>
        <v>1812676</v>
      </c>
      <c r="N14" s="498">
        <f t="shared" si="7"/>
        <v>13.6</v>
      </c>
      <c r="O14" s="220"/>
      <c r="P14" s="249"/>
    </row>
    <row r="15" spans="1:16" s="247" customFormat="1" ht="33" customHeight="1">
      <c r="A15" s="488">
        <v>11</v>
      </c>
      <c r="B15" s="489" t="s">
        <v>35</v>
      </c>
      <c r="C15" s="490">
        <v>10</v>
      </c>
      <c r="D15" s="494">
        <f t="shared" si="0"/>
        <v>0</v>
      </c>
      <c r="E15" s="495">
        <f t="shared" si="8"/>
        <v>0</v>
      </c>
      <c r="F15" s="496">
        <f t="shared" si="1"/>
        <v>14</v>
      </c>
      <c r="G15" s="494">
        <f>IF(F15&lt;=D$20,D15+0.1,D15)</f>
        <v>0</v>
      </c>
      <c r="H15" s="490">
        <v>10</v>
      </c>
      <c r="I15" s="494">
        <f t="shared" si="2"/>
        <v>0</v>
      </c>
      <c r="J15" s="495">
        <f t="shared" si="9"/>
        <v>0</v>
      </c>
      <c r="K15" s="496">
        <f t="shared" si="3"/>
        <v>14</v>
      </c>
      <c r="L15" s="494">
        <f t="shared" si="5"/>
        <v>0</v>
      </c>
      <c r="M15" s="497">
        <f t="shared" si="6"/>
        <v>0</v>
      </c>
      <c r="N15" s="498">
        <f t="shared" si="7"/>
        <v>0</v>
      </c>
      <c r="O15" s="220"/>
      <c r="P15" s="249"/>
    </row>
    <row r="16" spans="1:16" s="247" customFormat="1" ht="33" customHeight="1">
      <c r="A16" s="488">
        <v>12</v>
      </c>
      <c r="B16" s="489" t="s">
        <v>60</v>
      </c>
      <c r="C16" s="490">
        <v>7727231</v>
      </c>
      <c r="D16" s="494">
        <f t="shared" si="0"/>
        <v>6.6</v>
      </c>
      <c r="E16" s="495">
        <f t="shared" si="8"/>
        <v>7.8670000000000684E-2</v>
      </c>
      <c r="F16" s="496">
        <f t="shared" si="1"/>
        <v>2</v>
      </c>
      <c r="G16" s="494">
        <f t="shared" si="4"/>
        <v>6.6999999999999993</v>
      </c>
      <c r="H16" s="490">
        <v>7783532</v>
      </c>
      <c r="I16" s="494">
        <f t="shared" si="2"/>
        <v>6.9</v>
      </c>
      <c r="J16" s="495">
        <f t="shared" si="9"/>
        <v>6.2009999999999899E-2</v>
      </c>
      <c r="K16" s="496">
        <f t="shared" si="3"/>
        <v>5</v>
      </c>
      <c r="L16" s="494">
        <f t="shared" si="5"/>
        <v>7</v>
      </c>
      <c r="M16" s="497">
        <f t="shared" si="6"/>
        <v>-56301</v>
      </c>
      <c r="N16" s="498">
        <f t="shared" si="7"/>
        <v>-0.7</v>
      </c>
      <c r="O16" s="220"/>
      <c r="P16" s="249"/>
    </row>
    <row r="17" spans="1:16" s="247" customFormat="1" ht="33" customHeight="1">
      <c r="A17" s="488">
        <v>13</v>
      </c>
      <c r="B17" s="489" t="s">
        <v>61</v>
      </c>
      <c r="C17" s="490">
        <v>42010</v>
      </c>
      <c r="D17" s="494">
        <f t="shared" si="0"/>
        <v>0</v>
      </c>
      <c r="E17" s="495">
        <f t="shared" si="8"/>
        <v>3.6299999999999999E-2</v>
      </c>
      <c r="F17" s="496">
        <f t="shared" si="1"/>
        <v>9</v>
      </c>
      <c r="G17" s="494">
        <f t="shared" si="4"/>
        <v>0</v>
      </c>
      <c r="H17" s="490">
        <v>19010</v>
      </c>
      <c r="I17" s="494">
        <f t="shared" si="2"/>
        <v>0</v>
      </c>
      <c r="J17" s="495">
        <f t="shared" si="9"/>
        <v>1.7000000000000001E-2</v>
      </c>
      <c r="K17" s="496">
        <f t="shared" si="3"/>
        <v>11</v>
      </c>
      <c r="L17" s="494">
        <f t="shared" si="5"/>
        <v>0</v>
      </c>
      <c r="M17" s="497">
        <f t="shared" si="6"/>
        <v>23000</v>
      </c>
      <c r="N17" s="498">
        <f>IF(C17="-","　皆減",ROUND((C17/H17*100)-100,1))</f>
        <v>121</v>
      </c>
      <c r="O17" s="220"/>
      <c r="P17" s="249"/>
    </row>
    <row r="18" spans="1:16" s="247" customFormat="1" ht="33" customHeight="1" thickBot="1">
      <c r="A18" s="502">
        <v>14</v>
      </c>
      <c r="B18" s="503" t="s">
        <v>36</v>
      </c>
      <c r="C18" s="504">
        <v>120000</v>
      </c>
      <c r="D18" s="508">
        <f t="shared" si="0"/>
        <v>0.1</v>
      </c>
      <c r="E18" s="509">
        <f t="shared" si="8"/>
        <v>3.7099999999999911E-3</v>
      </c>
      <c r="F18" s="510">
        <f t="shared" si="1"/>
        <v>12</v>
      </c>
      <c r="G18" s="508">
        <f>IF(F18&lt;=D$20,D18+0.1,D18)</f>
        <v>0.1</v>
      </c>
      <c r="H18" s="504">
        <v>120000</v>
      </c>
      <c r="I18" s="508">
        <f t="shared" si="2"/>
        <v>0.1</v>
      </c>
      <c r="J18" s="509">
        <f t="shared" si="9"/>
        <v>7.3299999999999893E-3</v>
      </c>
      <c r="K18" s="510">
        <f t="shared" si="3"/>
        <v>13</v>
      </c>
      <c r="L18" s="508">
        <f t="shared" si="5"/>
        <v>0.1</v>
      </c>
      <c r="M18" s="511">
        <f t="shared" si="6"/>
        <v>0</v>
      </c>
      <c r="N18" s="512">
        <f t="shared" si="7"/>
        <v>0</v>
      </c>
      <c r="O18" s="220"/>
      <c r="P18" s="249"/>
    </row>
    <row r="19" spans="1:16" s="247" customFormat="1" ht="33" customHeight="1" thickTop="1">
      <c r="A19" s="709" t="s">
        <v>62</v>
      </c>
      <c r="B19" s="710"/>
      <c r="C19" s="482">
        <f>SUM(C5:C18)</f>
        <v>115700000</v>
      </c>
      <c r="D19" s="485">
        <f>SUM(D5:D18)</f>
        <v>99.4</v>
      </c>
      <c r="E19" s="482"/>
      <c r="F19" s="482"/>
      <c r="G19" s="485">
        <f>SUM(G5:G18)</f>
        <v>100</v>
      </c>
      <c r="H19" s="482">
        <f>SUM(H5:H18)</f>
        <v>111800000</v>
      </c>
      <c r="I19" s="485">
        <f>SUM(I5:I18)</f>
        <v>99.4</v>
      </c>
      <c r="J19" s="482"/>
      <c r="K19" s="482"/>
      <c r="L19" s="485">
        <f>SUM(L5:L18)</f>
        <v>100</v>
      </c>
      <c r="M19" s="486">
        <f>SUM(M5:M18)</f>
        <v>3900000</v>
      </c>
      <c r="N19" s="487">
        <f>ROUND((C19/H19*100)-100,1)</f>
        <v>3.5</v>
      </c>
      <c r="O19" s="220"/>
      <c r="P19" s="249"/>
    </row>
    <row r="20" spans="1:16">
      <c r="D20" s="251">
        <f>ROUND(1000-INT(D19*10),0)</f>
        <v>6</v>
      </c>
      <c r="I20" s="251">
        <f>1000-INT(I19*10)</f>
        <v>6</v>
      </c>
    </row>
    <row r="21" spans="1:16"/>
    <row r="31" spans="1:16">
      <c r="A31" s="711"/>
      <c r="B31" s="711"/>
      <c r="C31" s="711"/>
      <c r="D31" s="711"/>
      <c r="E31" s="711"/>
      <c r="F31" s="711"/>
      <c r="G31" s="711"/>
      <c r="H31" s="711"/>
      <c r="I31" s="711"/>
      <c r="J31" s="711"/>
      <c r="K31" s="711"/>
      <c r="L31" s="711"/>
      <c r="M31" s="711"/>
      <c r="N31" s="711"/>
    </row>
    <row r="47" spans="46:8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row>
    <row r="48" spans="46:8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row>
  </sheetData>
  <mergeCells count="3">
    <mergeCell ref="A4:B4"/>
    <mergeCell ref="A19:B19"/>
    <mergeCell ref="A31:N31"/>
  </mergeCells>
  <phoneticPr fontId="4"/>
  <printOptions horizontalCentered="1"/>
  <pageMargins left="0.19685039370078741" right="0.19685039370078741" top="0.6692913385826772" bottom="0.59055118110236227" header="0.51181102362204722" footer="0.51181102362204722"/>
  <pageSetup paperSize="9" scale="95"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CD56"/>
  <sheetViews>
    <sheetView view="pageBreakPreview" zoomScale="115" zoomScaleNormal="100" zoomScaleSheetLayoutView="115" workbookViewId="0">
      <selection activeCell="G66" sqref="G66"/>
    </sheetView>
  </sheetViews>
  <sheetFormatPr defaultColWidth="9" defaultRowHeight="14.25"/>
  <cols>
    <col min="1" max="12" width="3.625" style="253" customWidth="1"/>
    <col min="13" max="14" width="3.625" style="277" customWidth="1"/>
    <col min="15" max="25" width="3.625" style="253" customWidth="1"/>
    <col min="26" max="26" width="4.5" style="253" bestFit="1" customWidth="1"/>
    <col min="27" max="27" width="3.625" style="253" customWidth="1"/>
    <col min="28" max="28" width="2.875" style="253" customWidth="1"/>
    <col min="29" max="34" width="3.625" style="253" customWidth="1"/>
    <col min="35" max="16384" width="9" style="253"/>
  </cols>
  <sheetData>
    <row r="1" spans="1:31" s="158" customFormat="1" ht="18.75">
      <c r="A1" s="157"/>
      <c r="B1" s="157"/>
      <c r="G1" s="159"/>
    </row>
    <row r="2" spans="1:31" s="158" customFormat="1" ht="16.5">
      <c r="A2" s="719" t="s">
        <v>129</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row>
    <row r="3" spans="1:31" s="158" customFormat="1" ht="16.5">
      <c r="A3" s="719"/>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row>
    <row r="4" spans="1:31" s="158" customFormat="1" ht="16.5">
      <c r="G4" s="159"/>
    </row>
    <row r="5" spans="1:31" s="158" customFormat="1" ht="16.5">
      <c r="G5" s="159"/>
      <c r="AA5" s="168" t="s">
        <v>248</v>
      </c>
      <c r="AB5" s="160"/>
    </row>
    <row r="6" spans="1:31" s="158" customFormat="1" ht="16.5">
      <c r="G6" s="159"/>
      <c r="N6" s="160"/>
    </row>
    <row r="7" spans="1:31" s="158" customFormat="1" ht="16.5">
      <c r="N7" s="160"/>
    </row>
    <row r="8" spans="1:31" s="158" customFormat="1" ht="16.5">
      <c r="A8" s="167"/>
      <c r="T8" s="298" t="s">
        <v>111</v>
      </c>
      <c r="U8" s="299"/>
      <c r="V8" s="299"/>
      <c r="W8" s="718">
        <f>グラフデータ!D40</f>
        <v>633315</v>
      </c>
      <c r="X8" s="718"/>
      <c r="Y8" s="175" t="s">
        <v>141</v>
      </c>
      <c r="Z8" s="300">
        <f>ROUND(AD8,1)</f>
        <v>0.5</v>
      </c>
      <c r="AA8" s="177" t="s">
        <v>142</v>
      </c>
      <c r="AD8" s="721">
        <f>W8/115700000*100</f>
        <v>0.54737683664649961</v>
      </c>
      <c r="AE8" s="722"/>
    </row>
    <row r="9" spans="1:31" s="158" customFormat="1" ht="16.5">
      <c r="T9" s="301" t="s">
        <v>106</v>
      </c>
      <c r="U9" s="302"/>
      <c r="V9" s="302"/>
      <c r="W9" s="713">
        <f>グラフデータ!D41</f>
        <v>582492</v>
      </c>
      <c r="X9" s="713"/>
      <c r="Y9" s="179" t="s">
        <v>141</v>
      </c>
      <c r="Z9" s="303">
        <f t="shared" ref="Z9:Z14" si="0">ROUND(AD9,1)</f>
        <v>0.5</v>
      </c>
      <c r="AA9" s="181" t="s">
        <v>142</v>
      </c>
      <c r="AD9" s="721">
        <f t="shared" ref="AD9:AD14" si="1">W9/115700000*100</f>
        <v>0.50345030250648226</v>
      </c>
      <c r="AE9" s="722"/>
    </row>
    <row r="10" spans="1:31" s="158" customFormat="1" ht="16.5">
      <c r="T10" s="301" t="s">
        <v>112</v>
      </c>
      <c r="U10" s="302"/>
      <c r="V10" s="302"/>
      <c r="W10" s="713">
        <f>グラフデータ!D42</f>
        <v>492611</v>
      </c>
      <c r="X10" s="713"/>
      <c r="Y10" s="179" t="s">
        <v>141</v>
      </c>
      <c r="Z10" s="303">
        <f t="shared" si="0"/>
        <v>0.4</v>
      </c>
      <c r="AA10" s="181" t="s">
        <v>142</v>
      </c>
      <c r="AD10" s="721">
        <f t="shared" si="1"/>
        <v>0.42576577355229034</v>
      </c>
      <c r="AE10" s="722"/>
    </row>
    <row r="11" spans="1:31" s="158" customFormat="1" ht="16.5">
      <c r="G11" s="159"/>
      <c r="T11" s="301" t="s">
        <v>119</v>
      </c>
      <c r="U11" s="302"/>
      <c r="V11" s="302"/>
      <c r="W11" s="713">
        <f>グラフデータ!D43</f>
        <v>120000</v>
      </c>
      <c r="X11" s="713"/>
      <c r="Y11" s="179" t="s">
        <v>141</v>
      </c>
      <c r="Z11" s="303">
        <f t="shared" si="0"/>
        <v>0.1</v>
      </c>
      <c r="AA11" s="181" t="s">
        <v>142</v>
      </c>
      <c r="AD11" s="721">
        <f t="shared" si="1"/>
        <v>0.10371650821089023</v>
      </c>
      <c r="AE11" s="722"/>
    </row>
    <row r="12" spans="1:31" s="158" customFormat="1" ht="16.5">
      <c r="A12" s="167"/>
      <c r="G12" s="169"/>
      <c r="T12" s="301" t="s">
        <v>110</v>
      </c>
      <c r="U12" s="302"/>
      <c r="V12" s="302"/>
      <c r="W12" s="713">
        <f>グラフデータ!D44</f>
        <v>77735</v>
      </c>
      <c r="X12" s="713"/>
      <c r="Y12" s="179" t="s">
        <v>141</v>
      </c>
      <c r="Z12" s="303">
        <f t="shared" si="0"/>
        <v>0.1</v>
      </c>
      <c r="AA12" s="181" t="s">
        <v>142</v>
      </c>
      <c r="AD12" s="721">
        <f t="shared" si="1"/>
        <v>6.7186689714779604E-2</v>
      </c>
      <c r="AE12" s="722"/>
    </row>
    <row r="13" spans="1:31" s="158" customFormat="1" ht="16.5">
      <c r="A13" s="167"/>
      <c r="G13" s="159"/>
      <c r="T13" s="301" t="s">
        <v>118</v>
      </c>
      <c r="U13" s="302"/>
      <c r="V13" s="293"/>
      <c r="W13" s="713">
        <f>グラフデータ!D45</f>
        <v>42010</v>
      </c>
      <c r="X13" s="713"/>
      <c r="Y13" s="179" t="s">
        <v>141</v>
      </c>
      <c r="Z13" s="303">
        <f t="shared" si="0"/>
        <v>0</v>
      </c>
      <c r="AA13" s="181" t="s">
        <v>142</v>
      </c>
      <c r="AD13" s="721">
        <f t="shared" si="1"/>
        <v>3.6309420916162488E-2</v>
      </c>
      <c r="AE13" s="722"/>
    </row>
    <row r="14" spans="1:31" s="158" customFormat="1" ht="16.5">
      <c r="G14" s="159"/>
      <c r="T14" s="304" t="s">
        <v>117</v>
      </c>
      <c r="U14" s="305"/>
      <c r="V14" s="305"/>
      <c r="W14" s="720">
        <f>グラフデータ!D46</f>
        <v>10</v>
      </c>
      <c r="X14" s="720"/>
      <c r="Y14" s="184" t="s">
        <v>141</v>
      </c>
      <c r="Z14" s="306">
        <f t="shared" si="0"/>
        <v>0</v>
      </c>
      <c r="AA14" s="186" t="s">
        <v>142</v>
      </c>
      <c r="AD14" s="721">
        <f t="shared" si="1"/>
        <v>8.6430423509075185E-6</v>
      </c>
      <c r="AE14" s="722"/>
    </row>
    <row r="15" spans="1:31" s="158" customFormat="1" ht="16.5">
      <c r="G15" s="159"/>
    </row>
    <row r="16" spans="1:31" s="158" customFormat="1" ht="16.5">
      <c r="G16" s="159"/>
    </row>
    <row r="17" spans="7:32" s="158" customFormat="1" ht="16.5">
      <c r="G17" s="159"/>
    </row>
    <row r="18" spans="7:32" s="158" customFormat="1" ht="16.5">
      <c r="G18" s="159"/>
    </row>
    <row r="19" spans="7:32" s="158" customFormat="1" ht="16.5">
      <c r="G19" s="159"/>
    </row>
    <row r="20" spans="7:32" s="158" customFormat="1" ht="16.5">
      <c r="G20" s="159"/>
    </row>
    <row r="21" spans="7:32" s="158" customFormat="1" ht="16.5">
      <c r="G21" s="159"/>
    </row>
    <row r="22" spans="7:32" s="158" customFormat="1" ht="16.5">
      <c r="G22" s="159"/>
    </row>
    <row r="23" spans="7:32" s="158" customFormat="1" ht="16.5">
      <c r="G23" s="159"/>
    </row>
    <row r="24" spans="7:32" s="158" customFormat="1" ht="16.5">
      <c r="G24" s="159"/>
    </row>
    <row r="25" spans="7:32" s="158" customFormat="1" ht="16.5">
      <c r="G25" s="159"/>
    </row>
    <row r="26" spans="7:32" s="158" customFormat="1" ht="16.5">
      <c r="G26" s="159"/>
    </row>
    <row r="27" spans="7:32" s="158" customFormat="1" ht="16.5">
      <c r="G27" s="159"/>
    </row>
    <row r="28" spans="7:32" s="158" customFormat="1" ht="16.5">
      <c r="G28" s="159"/>
    </row>
    <row r="29" spans="7:32" s="158" customFormat="1" ht="16.5">
      <c r="G29" s="159"/>
    </row>
    <row r="30" spans="7:32" s="158" customFormat="1" ht="16.5">
      <c r="G30" s="159"/>
      <c r="O30" s="307"/>
    </row>
    <row r="31" spans="7:32" s="158" customFormat="1" ht="16.5">
      <c r="G31" s="159"/>
      <c r="AF31" s="308"/>
    </row>
    <row r="32" spans="7:32" s="158" customFormat="1" ht="16.5">
      <c r="G32" s="159"/>
      <c r="AF32" s="309"/>
    </row>
    <row r="33" spans="7:82" s="158" customFormat="1" ht="16.5">
      <c r="G33" s="159"/>
    </row>
    <row r="34" spans="7:82" s="158" customFormat="1" ht="16.5">
      <c r="G34" s="159"/>
    </row>
    <row r="35" spans="7:82" s="158" customFormat="1" ht="16.5">
      <c r="G35" s="159"/>
    </row>
    <row r="36" spans="7:82" s="158" customFormat="1" ht="16.5">
      <c r="G36" s="159"/>
    </row>
    <row r="37" spans="7:82" s="158" customFormat="1" ht="16.5">
      <c r="G37" s="159"/>
    </row>
    <row r="38" spans="7:82" s="158" customFormat="1" ht="16.5">
      <c r="G38" s="159"/>
    </row>
    <row r="39" spans="7:82" s="158" customFormat="1" ht="16.5">
      <c r="G39" s="159"/>
    </row>
    <row r="40" spans="7:82" s="158" customFormat="1" ht="16.5">
      <c r="G40" s="159"/>
    </row>
    <row r="41" spans="7:82" s="158" customFormat="1" ht="16.5">
      <c r="G41" s="159"/>
    </row>
    <row r="42" spans="7:82" s="158" customFormat="1" ht="16.5">
      <c r="G42" s="159"/>
    </row>
    <row r="43" spans="7:82" s="158" customFormat="1" ht="16.5">
      <c r="G43" s="159"/>
    </row>
    <row r="44" spans="7:82" s="158" customFormat="1" ht="16.5">
      <c r="G44" s="159"/>
    </row>
    <row r="45" spans="7:82" s="158" customFormat="1" ht="16.5">
      <c r="G45" s="159"/>
    </row>
    <row r="46" spans="7:82" s="158" customFormat="1" ht="16.5">
      <c r="G46" s="159"/>
    </row>
    <row r="47" spans="7:82" s="158" customFormat="1" ht="16.5">
      <c r="G47" s="159"/>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row>
    <row r="48" spans="7:82" s="158" customFormat="1" ht="16.5">
      <c r="G48" s="159"/>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5"/>
      <c r="BR48" s="325"/>
      <c r="BS48" s="325"/>
      <c r="BT48" s="325"/>
      <c r="BU48" s="325"/>
      <c r="BV48" s="325"/>
      <c r="BW48" s="325"/>
      <c r="BX48" s="325"/>
      <c r="BY48" s="325"/>
      <c r="BZ48" s="325"/>
      <c r="CA48" s="325"/>
      <c r="CB48" s="325"/>
      <c r="CC48" s="325"/>
      <c r="CD48" s="325"/>
    </row>
    <row r="49" spans="7:7" s="158" customFormat="1" ht="16.5">
      <c r="G49" s="159"/>
    </row>
    <row r="50" spans="7:7" s="158" customFormat="1" ht="16.5">
      <c r="G50" s="159"/>
    </row>
    <row r="51" spans="7:7" s="158" customFormat="1" ht="16.5">
      <c r="G51" s="159"/>
    </row>
    <row r="52" spans="7:7" s="158" customFormat="1" ht="16.5">
      <c r="G52" s="159"/>
    </row>
    <row r="53" spans="7:7" s="158" customFormat="1" ht="16.5">
      <c r="G53" s="159"/>
    </row>
    <row r="54" spans="7:7" s="158" customFormat="1" ht="16.5">
      <c r="G54" s="159"/>
    </row>
    <row r="55" spans="7:7" s="158" customFormat="1" ht="16.5">
      <c r="G55" s="159"/>
    </row>
    <row r="56" spans="7:7" s="158" customFormat="1" ht="16.5">
      <c r="G56" s="159"/>
    </row>
  </sheetData>
  <mergeCells count="15">
    <mergeCell ref="AD13:AE13"/>
    <mergeCell ref="AD14:AE14"/>
    <mergeCell ref="AD8:AE8"/>
    <mergeCell ref="AD9:AE9"/>
    <mergeCell ref="AD10:AE10"/>
    <mergeCell ref="AD11:AE11"/>
    <mergeCell ref="AD12:AE12"/>
    <mergeCell ref="A2:AB3"/>
    <mergeCell ref="W13:X13"/>
    <mergeCell ref="W11:X11"/>
    <mergeCell ref="W8:X8"/>
    <mergeCell ref="W14:X14"/>
    <mergeCell ref="W10:X10"/>
    <mergeCell ref="W12:X12"/>
    <mergeCell ref="W9:X9"/>
  </mergeCells>
  <phoneticPr fontId="6"/>
  <printOptions horizontalCentered="1"/>
  <pageMargins left="0.78740157480314965" right="0.55118110236220474" top="0.78740157480314965" bottom="0.62992125984251968" header="0.51181102362204722" footer="0.51181102362204722"/>
  <pageSetup paperSize="9" scale="87" orientation="portrait" cellComments="asDisplayed"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CD48"/>
  <sheetViews>
    <sheetView view="pageBreakPreview" zoomScale="115" zoomScaleNormal="100" zoomScaleSheetLayoutView="115" workbookViewId="0">
      <selection activeCell="G66" sqref="G66"/>
    </sheetView>
  </sheetViews>
  <sheetFormatPr defaultColWidth="9" defaultRowHeight="14.25" outlineLevelCol="1"/>
  <cols>
    <col min="1" max="1" width="4" style="253" customWidth="1"/>
    <col min="2" max="2" width="20.375" style="253" customWidth="1"/>
    <col min="3" max="3" width="14.625" style="272" customWidth="1"/>
    <col min="4" max="4" width="8" style="255" hidden="1" customWidth="1" outlineLevel="1"/>
    <col min="5" max="5" width="15.125" style="255" hidden="1" customWidth="1" outlineLevel="1"/>
    <col min="6" max="6" width="15.625" style="255" hidden="1" customWidth="1" outlineLevel="1"/>
    <col min="7" max="7" width="9.5" style="255" hidden="1" customWidth="1" outlineLevel="1"/>
    <col min="8" max="8" width="7.875" style="272" customWidth="1" collapsed="1"/>
    <col min="9" max="9" width="14.625" style="272" customWidth="1"/>
    <col min="10" max="10" width="10" style="272" hidden="1" customWidth="1" outlineLevel="1"/>
    <col min="11" max="11" width="12.875" style="272" hidden="1" customWidth="1" outlineLevel="1"/>
    <col min="12" max="12" width="7.625" style="272" hidden="1" customWidth="1" outlineLevel="1"/>
    <col min="13" max="13" width="7" style="272" hidden="1" customWidth="1" outlineLevel="1"/>
    <col min="14" max="14" width="7.875" style="272" customWidth="1" collapsed="1"/>
    <col min="15" max="15" width="14.625" style="272" customWidth="1"/>
    <col min="16" max="16" width="8.875" style="272" customWidth="1"/>
    <col min="17" max="17" width="9" style="253"/>
    <col min="18" max="18" width="10.5" style="270" bestFit="1" customWidth="1"/>
    <col min="19" max="19" width="16.625" style="253" customWidth="1"/>
    <col min="20" max="16384" width="9" style="253"/>
  </cols>
  <sheetData>
    <row r="1" spans="1:19" ht="31.5" customHeight="1">
      <c r="A1" s="724"/>
      <c r="B1" s="724"/>
      <c r="C1" s="724"/>
      <c r="D1" s="724"/>
      <c r="E1" s="724"/>
      <c r="F1" s="724"/>
      <c r="G1" s="724"/>
      <c r="H1" s="724"/>
      <c r="I1" s="724"/>
      <c r="J1" s="724"/>
      <c r="K1" s="724"/>
      <c r="L1" s="724"/>
      <c r="M1" s="724"/>
      <c r="N1" s="724"/>
      <c r="O1" s="724"/>
      <c r="P1" s="724"/>
      <c r="Q1" s="196"/>
      <c r="R1" s="252" t="s">
        <v>181</v>
      </c>
    </row>
    <row r="2" spans="1:19" ht="31.5" customHeight="1">
      <c r="B2" s="254"/>
      <c r="C2" s="255"/>
      <c r="H2" s="255"/>
      <c r="I2" s="255"/>
      <c r="J2" s="255"/>
      <c r="K2" s="255"/>
      <c r="L2" s="255"/>
      <c r="M2" s="255"/>
      <c r="N2" s="255"/>
      <c r="O2" s="255"/>
      <c r="P2" s="255"/>
      <c r="Q2" s="200"/>
      <c r="R2" s="256"/>
    </row>
    <row r="3" spans="1:19" ht="31.5" customHeight="1">
      <c r="A3" s="253" t="s">
        <v>63</v>
      </c>
      <c r="C3" s="255"/>
      <c r="H3" s="255"/>
      <c r="I3" s="255"/>
      <c r="J3" s="255"/>
      <c r="K3" s="255"/>
      <c r="L3" s="255"/>
      <c r="M3" s="255"/>
      <c r="N3" s="255"/>
      <c r="O3" s="255"/>
      <c r="P3" s="257" t="s">
        <v>43</v>
      </c>
      <c r="Q3" s="245"/>
      <c r="R3" s="258" t="s">
        <v>182</v>
      </c>
    </row>
    <row r="4" spans="1:19" s="213" customFormat="1" ht="29.25" customHeight="1">
      <c r="A4" s="729" t="s">
        <v>79</v>
      </c>
      <c r="B4" s="730"/>
      <c r="C4" s="480" t="s">
        <v>76</v>
      </c>
      <c r="D4" s="480" t="s">
        <v>16</v>
      </c>
      <c r="E4" s="480" t="s">
        <v>17</v>
      </c>
      <c r="F4" s="480"/>
      <c r="G4" s="480" t="s">
        <v>85</v>
      </c>
      <c r="H4" s="480" t="s">
        <v>15</v>
      </c>
      <c r="I4" s="480" t="s">
        <v>44</v>
      </c>
      <c r="J4" s="480" t="s">
        <v>16</v>
      </c>
      <c r="K4" s="480" t="s">
        <v>17</v>
      </c>
      <c r="L4" s="480"/>
      <c r="M4" s="480" t="s">
        <v>85</v>
      </c>
      <c r="N4" s="480" t="s">
        <v>15</v>
      </c>
      <c r="O4" s="480" t="s">
        <v>12</v>
      </c>
      <c r="P4" s="480" t="s">
        <v>45</v>
      </c>
      <c r="R4" s="259"/>
      <c r="S4" s="260"/>
    </row>
    <row r="5" spans="1:19" s="213" customFormat="1" ht="33" customHeight="1">
      <c r="A5" s="725" t="s">
        <v>37</v>
      </c>
      <c r="B5" s="726"/>
      <c r="C5" s="490">
        <f>グラフデータ!D83</f>
        <v>22924080</v>
      </c>
      <c r="D5" s="491">
        <f t="shared" ref="D5:D21" si="0">ROUNDDOWN(C5/C$22*100,1)</f>
        <v>19.8</v>
      </c>
      <c r="E5" s="514"/>
      <c r="F5" s="492">
        <f>IF(D5="-",0,ROUNDDOWN(C5/C$22*100,5)-D5)</f>
        <v>1.3369999999998328E-2</v>
      </c>
      <c r="G5" s="493">
        <f>RANK(F5,F$5:F$7)</f>
        <v>2</v>
      </c>
      <c r="H5" s="494">
        <f>IF(G5&lt;=D$24,D5+0.1,D5)</f>
        <v>19.8</v>
      </c>
      <c r="I5" s="490">
        <v>22147190</v>
      </c>
      <c r="J5" s="494">
        <f t="shared" ref="J5:J21" si="1">ROUNDDOWN(I5/I$22*100,1)</f>
        <v>19.8</v>
      </c>
      <c r="K5" s="515"/>
      <c r="L5" s="495">
        <f>IF(J5="-",0,ROUNDDOWN(I5/I$22*100,5)-J5)</f>
        <v>9.6500000000006025E-3</v>
      </c>
      <c r="M5" s="496">
        <f>RANK(L5,L$5:L$7)</f>
        <v>3</v>
      </c>
      <c r="N5" s="494">
        <f>IF(M5&lt;=J$24,J5+0.1,J5)</f>
        <v>19.8</v>
      </c>
      <c r="O5" s="497">
        <f t="shared" ref="O5:O21" si="2">C5-I5</f>
        <v>776890</v>
      </c>
      <c r="P5" s="498">
        <f t="shared" ref="P5:P12" si="3">IF(C5="-","　皆減",ROUND((C5/I5*100)-100,1))</f>
        <v>3.5</v>
      </c>
      <c r="R5" s="261"/>
      <c r="S5" s="262">
        <f>C5/115700</f>
        <v>198.13379429559205</v>
      </c>
    </row>
    <row r="6" spans="1:19" s="213" customFormat="1" ht="33" customHeight="1">
      <c r="A6" s="725" t="s">
        <v>64</v>
      </c>
      <c r="B6" s="726"/>
      <c r="C6" s="490">
        <f>グラフデータ!D82</f>
        <v>32291580</v>
      </c>
      <c r="D6" s="491">
        <f t="shared" si="0"/>
        <v>27.9</v>
      </c>
      <c r="E6" s="514"/>
      <c r="F6" s="492">
        <f>IF(D6="-",0,ROUNDDOWN(C6/C$22*100,5)-D6)</f>
        <v>9.7400000000007481E-3</v>
      </c>
      <c r="G6" s="493">
        <f>RANK(F6,F$5:F$7)</f>
        <v>3</v>
      </c>
      <c r="H6" s="494">
        <f>IF(G6&lt;=D$24,D6+0.1,D6)</f>
        <v>27.9</v>
      </c>
      <c r="I6" s="490">
        <v>31231840</v>
      </c>
      <c r="J6" s="494">
        <f t="shared" si="1"/>
        <v>27.9</v>
      </c>
      <c r="K6" s="515"/>
      <c r="L6" s="495">
        <f>IF(J6="-",0,ROUNDDOWN(I6/I$22*100,5)-J6)</f>
        <v>3.545000000000087E-2</v>
      </c>
      <c r="M6" s="496">
        <f>RANK(L6,L$5:L$7)</f>
        <v>2</v>
      </c>
      <c r="N6" s="494">
        <f>IF(M6&lt;=J$24,J6+0.1,J6)</f>
        <v>27.9</v>
      </c>
      <c r="O6" s="497">
        <f t="shared" si="2"/>
        <v>1059740</v>
      </c>
      <c r="P6" s="498">
        <f t="shared" si="3"/>
        <v>3.4</v>
      </c>
      <c r="R6" s="261"/>
      <c r="S6" s="262">
        <f t="shared" ref="S6:S22" si="4">C6/115700</f>
        <v>279.09749351771825</v>
      </c>
    </row>
    <row r="7" spans="1:19" s="213" customFormat="1" ht="33" customHeight="1">
      <c r="A7" s="725" t="s">
        <v>60</v>
      </c>
      <c r="B7" s="726"/>
      <c r="C7" s="490">
        <f>グラフデータ!D91</f>
        <v>7727231</v>
      </c>
      <c r="D7" s="491">
        <f t="shared" si="0"/>
        <v>6.6</v>
      </c>
      <c r="E7" s="514"/>
      <c r="F7" s="492">
        <f>IF(D7="-",0,ROUNDDOWN(C7/C$22*100,5)-D7)</f>
        <v>7.8670000000000684E-2</v>
      </c>
      <c r="G7" s="493">
        <f>RANK(F7,F$5:F$7)</f>
        <v>1</v>
      </c>
      <c r="H7" s="494">
        <f>IF(G7&lt;=D$23,D7+0.1,D7)</f>
        <v>6.6999999999999993</v>
      </c>
      <c r="I7" s="490">
        <v>7783532</v>
      </c>
      <c r="J7" s="494">
        <f t="shared" si="1"/>
        <v>6.9</v>
      </c>
      <c r="K7" s="515"/>
      <c r="L7" s="495">
        <f>IF(J7="-",0,ROUNDDOWN(I7/I$22*100,5)-J7)</f>
        <v>6.2009999999999899E-2</v>
      </c>
      <c r="M7" s="496">
        <f>RANK(L7,L$5:L$7)</f>
        <v>1</v>
      </c>
      <c r="N7" s="494">
        <f>IF(M7&lt;=J$24,J7+0.1,J7)</f>
        <v>7</v>
      </c>
      <c r="O7" s="497">
        <f t="shared" si="2"/>
        <v>-56301</v>
      </c>
      <c r="P7" s="498">
        <f t="shared" si="3"/>
        <v>-0.7</v>
      </c>
      <c r="Q7" s="214"/>
      <c r="R7" s="261"/>
      <c r="S7" s="262">
        <f t="shared" si="4"/>
        <v>66.786784788245456</v>
      </c>
    </row>
    <row r="8" spans="1:19" s="213" customFormat="1" ht="33" customHeight="1">
      <c r="A8" s="731" t="s">
        <v>65</v>
      </c>
      <c r="B8" s="732"/>
      <c r="C8" s="496">
        <f>SUM(C5:C7)</f>
        <v>62942891</v>
      </c>
      <c r="D8" s="491">
        <f t="shared" si="0"/>
        <v>54.4</v>
      </c>
      <c r="E8" s="492">
        <f t="shared" ref="E8:E16" si="5">IF(C8="-",0,ROUNDDOWN(C8/C$22*100,5)-D8)</f>
        <v>1.8000000000029104E-3</v>
      </c>
      <c r="F8" s="514"/>
      <c r="G8" s="493">
        <f t="shared" ref="G8:G16" si="6">RANK(E8,E$5:E$21,0)</f>
        <v>9</v>
      </c>
      <c r="H8" s="494">
        <f>IF(G8&lt;=D$23,D8+0.1,D8)</f>
        <v>54.4</v>
      </c>
      <c r="I8" s="496">
        <v>61162562</v>
      </c>
      <c r="J8" s="494">
        <f t="shared" si="1"/>
        <v>54.7</v>
      </c>
      <c r="K8" s="495">
        <f t="shared" ref="K8:K16" si="7">IF(I8="-",0,ROUNDDOWN(I8/I$22*100,5)-J8)</f>
        <v>7.1200000000004593E-3</v>
      </c>
      <c r="L8" s="515"/>
      <c r="M8" s="496">
        <f t="shared" ref="M8:M16" si="8">RANK(K8,K$5:K$21,0)</f>
        <v>9</v>
      </c>
      <c r="N8" s="494">
        <f>IF(M8&lt;=J$23,J8+0.1,J8)</f>
        <v>54.7</v>
      </c>
      <c r="O8" s="497">
        <f t="shared" si="2"/>
        <v>1780329</v>
      </c>
      <c r="P8" s="498">
        <f t="shared" si="3"/>
        <v>2.9</v>
      </c>
      <c r="R8" s="259"/>
      <c r="S8" s="262">
        <f t="shared" si="4"/>
        <v>544.01807260155579</v>
      </c>
    </row>
    <row r="9" spans="1:19" s="213" customFormat="1" ht="33" customHeight="1">
      <c r="A9" s="725" t="s">
        <v>66</v>
      </c>
      <c r="B9" s="726"/>
      <c r="C9" s="490">
        <f>グラフデータ!D84</f>
        <v>19085382</v>
      </c>
      <c r="D9" s="491">
        <f t="shared" si="0"/>
        <v>16.399999999999999</v>
      </c>
      <c r="E9" s="492">
        <f t="shared" si="5"/>
        <v>9.5570000000002153E-2</v>
      </c>
      <c r="F9" s="514"/>
      <c r="G9" s="493">
        <f t="shared" si="6"/>
        <v>2</v>
      </c>
      <c r="H9" s="494">
        <f>IF(G9&lt;=D$23,D9+0.1,D9)</f>
        <v>16.5</v>
      </c>
      <c r="I9" s="490">
        <v>20794477</v>
      </c>
      <c r="J9" s="494">
        <f t="shared" si="1"/>
        <v>18.5</v>
      </c>
      <c r="K9" s="495">
        <f t="shared" si="7"/>
        <v>9.9710000000001742E-2</v>
      </c>
      <c r="L9" s="515"/>
      <c r="M9" s="496">
        <f t="shared" si="8"/>
        <v>1</v>
      </c>
      <c r="N9" s="494">
        <f t="shared" ref="N9:N16" si="9">IF(M9&lt;=J$23,J9+0.1,J9)</f>
        <v>18.600000000000001</v>
      </c>
      <c r="O9" s="497">
        <f t="shared" si="2"/>
        <v>-1709095</v>
      </c>
      <c r="P9" s="498">
        <f t="shared" si="3"/>
        <v>-8.1999999999999993</v>
      </c>
      <c r="R9" s="263"/>
      <c r="S9" s="262">
        <f t="shared" si="4"/>
        <v>164.95576490924805</v>
      </c>
    </row>
    <row r="10" spans="1:19" s="213" customFormat="1" ht="33" customHeight="1">
      <c r="A10" s="725" t="s">
        <v>67</v>
      </c>
      <c r="B10" s="726"/>
      <c r="C10" s="490">
        <f>グラフデータ!D92</f>
        <v>523980</v>
      </c>
      <c r="D10" s="491">
        <f t="shared" si="0"/>
        <v>0.4</v>
      </c>
      <c r="E10" s="492">
        <f t="shared" si="5"/>
        <v>5.2869999999999973E-2</v>
      </c>
      <c r="F10" s="514"/>
      <c r="G10" s="493">
        <f t="shared" si="6"/>
        <v>5</v>
      </c>
      <c r="H10" s="494">
        <f>IF(G10&lt;=D$23,D10+0.1,D10)</f>
        <v>0.4</v>
      </c>
      <c r="I10" s="490">
        <v>429060</v>
      </c>
      <c r="J10" s="494">
        <f t="shared" si="1"/>
        <v>0.3</v>
      </c>
      <c r="K10" s="495">
        <f t="shared" si="7"/>
        <v>8.3770000000000011E-2</v>
      </c>
      <c r="L10" s="515"/>
      <c r="M10" s="496">
        <f t="shared" si="8"/>
        <v>3</v>
      </c>
      <c r="N10" s="494">
        <f>IF(M10&lt;=J$23,J10+0.1,J10)</f>
        <v>0.4</v>
      </c>
      <c r="O10" s="497">
        <f t="shared" si="2"/>
        <v>94920</v>
      </c>
      <c r="P10" s="498">
        <f t="shared" si="3"/>
        <v>22.1</v>
      </c>
      <c r="R10" s="261"/>
      <c r="S10" s="262">
        <f t="shared" si="4"/>
        <v>4.5287813310285223</v>
      </c>
    </row>
    <row r="11" spans="1:19" s="213" customFormat="1" ht="33" customHeight="1">
      <c r="A11" s="725" t="s">
        <v>68</v>
      </c>
      <c r="B11" s="726"/>
      <c r="C11" s="490">
        <f>グラフデータ!D89</f>
        <v>11699927</v>
      </c>
      <c r="D11" s="491">
        <f t="shared" si="0"/>
        <v>10.1</v>
      </c>
      <c r="E11" s="492">
        <f t="shared" si="5"/>
        <v>1.2290000000000134E-2</v>
      </c>
      <c r="F11" s="514"/>
      <c r="G11" s="493">
        <f t="shared" si="6"/>
        <v>7</v>
      </c>
      <c r="H11" s="494">
        <f t="shared" ref="H11:H12" si="10">IF(G11&lt;=D$23,D11+0.1,D11)</f>
        <v>10.1</v>
      </c>
      <c r="I11" s="490">
        <v>10144391</v>
      </c>
      <c r="J11" s="494">
        <f t="shared" si="1"/>
        <v>9</v>
      </c>
      <c r="K11" s="495">
        <f t="shared" si="7"/>
        <v>7.3689999999999145E-2</v>
      </c>
      <c r="L11" s="515"/>
      <c r="M11" s="496">
        <f t="shared" si="8"/>
        <v>5</v>
      </c>
      <c r="N11" s="494">
        <f t="shared" si="9"/>
        <v>9.1</v>
      </c>
      <c r="O11" s="497">
        <f t="shared" si="2"/>
        <v>1555536</v>
      </c>
      <c r="P11" s="498">
        <f t="shared" si="3"/>
        <v>15.3</v>
      </c>
      <c r="R11" s="261"/>
      <c r="S11" s="262">
        <f t="shared" si="4"/>
        <v>101.12296456352637</v>
      </c>
    </row>
    <row r="12" spans="1:19" s="213" customFormat="1" ht="33" customHeight="1">
      <c r="A12" s="725" t="s">
        <v>69</v>
      </c>
      <c r="B12" s="726"/>
      <c r="C12" s="490">
        <f>グラフデータ!D96</f>
        <v>69450</v>
      </c>
      <c r="D12" s="491">
        <f t="shared" si="0"/>
        <v>0</v>
      </c>
      <c r="E12" s="492">
        <f t="shared" si="5"/>
        <v>6.0019999999999997E-2</v>
      </c>
      <c r="F12" s="514"/>
      <c r="G12" s="493">
        <f t="shared" si="6"/>
        <v>4</v>
      </c>
      <c r="H12" s="494">
        <f t="shared" si="10"/>
        <v>0.1</v>
      </c>
      <c r="I12" s="490">
        <v>47120</v>
      </c>
      <c r="J12" s="494">
        <f t="shared" si="1"/>
        <v>0</v>
      </c>
      <c r="K12" s="495">
        <f t="shared" si="7"/>
        <v>4.2139999999999997E-2</v>
      </c>
      <c r="L12" s="515"/>
      <c r="M12" s="496">
        <f t="shared" si="8"/>
        <v>6</v>
      </c>
      <c r="N12" s="494">
        <f t="shared" si="9"/>
        <v>0</v>
      </c>
      <c r="O12" s="497">
        <f t="shared" si="2"/>
        <v>22330</v>
      </c>
      <c r="P12" s="498">
        <f t="shared" si="3"/>
        <v>47.4</v>
      </c>
      <c r="R12" s="261"/>
      <c r="S12" s="262">
        <f t="shared" si="4"/>
        <v>0.60025929127052724</v>
      </c>
    </row>
    <row r="13" spans="1:19" s="392" customFormat="1" ht="33" customHeight="1">
      <c r="A13" s="725" t="s">
        <v>38</v>
      </c>
      <c r="B13" s="726"/>
      <c r="C13" s="490"/>
      <c r="D13" s="491">
        <f t="shared" si="0"/>
        <v>0</v>
      </c>
      <c r="E13" s="492">
        <f t="shared" si="5"/>
        <v>0</v>
      </c>
      <c r="F13" s="514"/>
      <c r="G13" s="493">
        <f t="shared" si="6"/>
        <v>10</v>
      </c>
      <c r="H13" s="494"/>
      <c r="I13" s="490"/>
      <c r="J13" s="494">
        <f t="shared" si="1"/>
        <v>0</v>
      </c>
      <c r="K13" s="495">
        <f t="shared" si="7"/>
        <v>0</v>
      </c>
      <c r="L13" s="515"/>
      <c r="M13" s="496">
        <f t="shared" si="8"/>
        <v>10</v>
      </c>
      <c r="N13" s="494"/>
      <c r="O13" s="497">
        <f t="shared" si="2"/>
        <v>0</v>
      </c>
      <c r="P13" s="499" t="s">
        <v>89</v>
      </c>
      <c r="R13" s="393"/>
      <c r="S13" s="262">
        <f t="shared" si="4"/>
        <v>0</v>
      </c>
    </row>
    <row r="14" spans="1:19" s="213" customFormat="1" ht="33" customHeight="1">
      <c r="A14" s="725" t="s">
        <v>70</v>
      </c>
      <c r="B14" s="726"/>
      <c r="C14" s="490">
        <f>グラフデータ!D94</f>
        <v>114010</v>
      </c>
      <c r="D14" s="491">
        <f t="shared" si="0"/>
        <v>0</v>
      </c>
      <c r="E14" s="492">
        <f t="shared" si="5"/>
        <v>9.8530000000000006E-2</v>
      </c>
      <c r="F14" s="514"/>
      <c r="G14" s="493">
        <f t="shared" si="6"/>
        <v>1</v>
      </c>
      <c r="H14" s="494">
        <f>IF(G14&lt;=D$23,D14+0.1,D14)</f>
        <v>0.1</v>
      </c>
      <c r="I14" s="490">
        <v>123010</v>
      </c>
      <c r="J14" s="494">
        <f t="shared" si="1"/>
        <v>0.1</v>
      </c>
      <c r="K14" s="495">
        <f t="shared" si="7"/>
        <v>1.0020000000000001E-2</v>
      </c>
      <c r="L14" s="515"/>
      <c r="M14" s="496">
        <f t="shared" si="8"/>
        <v>7</v>
      </c>
      <c r="N14" s="494">
        <f>IF(M14&lt;=J$23,J14+0.1,J14)</f>
        <v>0.1</v>
      </c>
      <c r="O14" s="497">
        <f t="shared" si="2"/>
        <v>-9000</v>
      </c>
      <c r="P14" s="498">
        <f t="shared" ref="P14:P21" si="11">IF(C14="-","　皆減",ROUND((C14/I14*100)-100,1))</f>
        <v>-7.3</v>
      </c>
      <c r="R14" s="263"/>
      <c r="S14" s="262">
        <f t="shared" si="4"/>
        <v>0.98539325842696635</v>
      </c>
    </row>
    <row r="15" spans="1:19" s="213" customFormat="1" ht="33" customHeight="1">
      <c r="A15" s="725" t="s">
        <v>71</v>
      </c>
      <c r="B15" s="726"/>
      <c r="C15" s="490">
        <f>グラフデータ!D90</f>
        <v>8230600</v>
      </c>
      <c r="D15" s="491">
        <f t="shared" si="0"/>
        <v>7.1</v>
      </c>
      <c r="E15" s="492">
        <f t="shared" si="5"/>
        <v>1.3740000000000308E-2</v>
      </c>
      <c r="F15" s="514"/>
      <c r="G15" s="493">
        <f t="shared" si="6"/>
        <v>6</v>
      </c>
      <c r="H15" s="494">
        <f>IF(G15&lt;=D$23,D15+0.1,D15)</f>
        <v>7.1</v>
      </c>
      <c r="I15" s="490">
        <v>7821500</v>
      </c>
      <c r="J15" s="494">
        <f t="shared" si="1"/>
        <v>6.9</v>
      </c>
      <c r="K15" s="495">
        <f t="shared" si="7"/>
        <v>9.5969999999999445E-2</v>
      </c>
      <c r="L15" s="515"/>
      <c r="M15" s="496">
        <f t="shared" si="8"/>
        <v>2</v>
      </c>
      <c r="N15" s="494">
        <f>IF(M15&lt;=J$23,J15+0.1,J15)</f>
        <v>7</v>
      </c>
      <c r="O15" s="497">
        <f t="shared" si="2"/>
        <v>409100</v>
      </c>
      <c r="P15" s="498">
        <f t="shared" si="11"/>
        <v>5.2</v>
      </c>
      <c r="R15" s="261"/>
      <c r="S15" s="262">
        <f t="shared" si="4"/>
        <v>71.137424373379432</v>
      </c>
    </row>
    <row r="16" spans="1:19" s="213" customFormat="1" ht="33" customHeight="1">
      <c r="A16" s="725" t="s">
        <v>39</v>
      </c>
      <c r="B16" s="726"/>
      <c r="C16" s="496">
        <f>SUM(C17:C19)</f>
        <v>12913750</v>
      </c>
      <c r="D16" s="491">
        <f t="shared" si="0"/>
        <v>11.1</v>
      </c>
      <c r="E16" s="492">
        <f t="shared" si="5"/>
        <v>6.1400000000000787E-2</v>
      </c>
      <c r="F16" s="514"/>
      <c r="G16" s="493">
        <f t="shared" si="6"/>
        <v>3</v>
      </c>
      <c r="H16" s="494">
        <f>IF(G16&lt;=D$23,D16+0.1,D16)</f>
        <v>11.2</v>
      </c>
      <c r="I16" s="496">
        <v>11157870</v>
      </c>
      <c r="J16" s="494">
        <f t="shared" si="1"/>
        <v>9.9</v>
      </c>
      <c r="K16" s="495">
        <f t="shared" si="7"/>
        <v>8.0199999999999605E-2</v>
      </c>
      <c r="L16" s="515"/>
      <c r="M16" s="496">
        <f t="shared" si="8"/>
        <v>4</v>
      </c>
      <c r="N16" s="494">
        <f t="shared" si="9"/>
        <v>10</v>
      </c>
      <c r="O16" s="497">
        <f t="shared" si="2"/>
        <v>1755880</v>
      </c>
      <c r="P16" s="498">
        <f t="shared" si="11"/>
        <v>15.7</v>
      </c>
      <c r="R16" s="261"/>
      <c r="S16" s="262">
        <f t="shared" si="4"/>
        <v>111.61408815903198</v>
      </c>
    </row>
    <row r="17" spans="1:19" s="213" customFormat="1" ht="33" customHeight="1">
      <c r="A17" s="518"/>
      <c r="B17" s="489" t="s">
        <v>72</v>
      </c>
      <c r="C17" s="490">
        <f>グラフデータ!D86</f>
        <v>2147300</v>
      </c>
      <c r="D17" s="491">
        <f t="shared" si="0"/>
        <v>1.8</v>
      </c>
      <c r="E17" s="514"/>
      <c r="F17" s="492">
        <f>IF(D17="-",0,ROUNDDOWN(C17/C$22*100,5)-D17)</f>
        <v>5.591999999999997E-2</v>
      </c>
      <c r="G17" s="493">
        <f>RANK(F17,F$17:F$19)</f>
        <v>2</v>
      </c>
      <c r="H17" s="494">
        <f>IF(G17&lt;=D$25,D17+0.1,D17)</f>
        <v>1.9000000000000001</v>
      </c>
      <c r="I17" s="490">
        <v>1941700</v>
      </c>
      <c r="J17" s="494">
        <f t="shared" si="1"/>
        <v>1.7</v>
      </c>
      <c r="K17" s="515"/>
      <c r="L17" s="495">
        <f>IF(J17="-",0,ROUNDDOWN(I17/I$22*100,5)-J17)</f>
        <v>3.6760000000000126E-2</v>
      </c>
      <c r="M17" s="496">
        <f>RANK(L17,L$17:L$19,0)</f>
        <v>3</v>
      </c>
      <c r="N17" s="494">
        <f>IF(M17&lt;=J$25,J17+0.1,J17)</f>
        <v>1.7</v>
      </c>
      <c r="O17" s="497">
        <f t="shared" si="2"/>
        <v>205600</v>
      </c>
      <c r="P17" s="498">
        <f t="shared" si="11"/>
        <v>10.6</v>
      </c>
      <c r="R17" s="259"/>
      <c r="S17" s="262">
        <f t="shared" si="4"/>
        <v>18.559204840103718</v>
      </c>
    </row>
    <row r="18" spans="1:19" s="213" customFormat="1" ht="33" customHeight="1">
      <c r="A18" s="519"/>
      <c r="B18" s="489" t="s">
        <v>73</v>
      </c>
      <c r="C18" s="490">
        <f>グラフデータ!D87</f>
        <v>10654950</v>
      </c>
      <c r="D18" s="491">
        <f t="shared" si="0"/>
        <v>9.1999999999999993</v>
      </c>
      <c r="E18" s="514"/>
      <c r="F18" s="492">
        <f>IF(D18="-",0,ROUNDDOWN(C18/C$22*100,5)-D18)</f>
        <v>9.1100000000015058E-3</v>
      </c>
      <c r="G18" s="493">
        <f>RANK(F18,F$17:F$19)</f>
        <v>3</v>
      </c>
      <c r="H18" s="494">
        <f>IF(G18&lt;=D$25,D18+0.1,D18)</f>
        <v>9.1999999999999993</v>
      </c>
      <c r="I18" s="490">
        <v>9132770</v>
      </c>
      <c r="J18" s="494">
        <f t="shared" si="1"/>
        <v>8.1</v>
      </c>
      <c r="K18" s="515"/>
      <c r="L18" s="495">
        <f>IF(J18="-",0,ROUNDDOWN(I18/I$22*100,5)-J18)</f>
        <v>6.883999999999979E-2</v>
      </c>
      <c r="M18" s="496">
        <f>RANK(L18,L$17:L$19,0)</f>
        <v>2</v>
      </c>
      <c r="N18" s="494">
        <f>IF(M18&lt;=J$25,J18+0.1,J18)</f>
        <v>8.1999999999999993</v>
      </c>
      <c r="O18" s="497">
        <f t="shared" si="2"/>
        <v>1522180</v>
      </c>
      <c r="P18" s="498">
        <f t="shared" si="11"/>
        <v>16.7</v>
      </c>
      <c r="Q18" s="196"/>
      <c r="R18" s="259"/>
      <c r="S18" s="262">
        <f t="shared" si="4"/>
        <v>92.091184096802081</v>
      </c>
    </row>
    <row r="19" spans="1:19" s="213" customFormat="1" ht="33" customHeight="1">
      <c r="A19" s="520"/>
      <c r="B19" s="489" t="s">
        <v>74</v>
      </c>
      <c r="C19" s="490">
        <f>グラフデータ!D88</f>
        <v>111500</v>
      </c>
      <c r="D19" s="491">
        <f t="shared" si="0"/>
        <v>0</v>
      </c>
      <c r="E19" s="514"/>
      <c r="F19" s="492">
        <f>IF(D19="-",0,ROUNDDOWN(C19/C$22*100,5)-D19)</f>
        <v>9.6360000000000001E-2</v>
      </c>
      <c r="G19" s="493">
        <f>RANK(F19,F$17:F$19)</f>
        <v>1</v>
      </c>
      <c r="H19" s="494">
        <f>IF(G19&lt;=D$25,D19+0.1,D19)</f>
        <v>0.1</v>
      </c>
      <c r="I19" s="490">
        <v>83400</v>
      </c>
      <c r="J19" s="494">
        <f t="shared" si="1"/>
        <v>0</v>
      </c>
      <c r="K19" s="515"/>
      <c r="L19" s="495">
        <f>IF(J19="-",0,ROUNDDOWN(I19/I$22*100,5)-J19)</f>
        <v>7.4590000000000004E-2</v>
      </c>
      <c r="M19" s="496">
        <f>RANK(L19,L$17:L$19,0)</f>
        <v>1</v>
      </c>
      <c r="N19" s="494">
        <f>IF(M19&lt;=J$25,J19+0.1,J19)</f>
        <v>0.1</v>
      </c>
      <c r="O19" s="497">
        <f t="shared" si="2"/>
        <v>28100</v>
      </c>
      <c r="P19" s="498">
        <f t="shared" si="11"/>
        <v>33.700000000000003</v>
      </c>
      <c r="R19" s="259"/>
      <c r="S19" s="262">
        <f t="shared" si="4"/>
        <v>0.96369922212618842</v>
      </c>
    </row>
    <row r="20" spans="1:19" s="213" customFormat="1" ht="33" customHeight="1">
      <c r="A20" s="725" t="s">
        <v>75</v>
      </c>
      <c r="B20" s="726"/>
      <c r="C20" s="490">
        <f>+グラフデータ!D97</f>
        <v>10</v>
      </c>
      <c r="D20" s="491">
        <f t="shared" si="0"/>
        <v>0</v>
      </c>
      <c r="E20" s="492">
        <f>IF(C20="-",0,ROUNDDOWN(C20/C$22*100,5)-D20)</f>
        <v>0</v>
      </c>
      <c r="F20" s="514"/>
      <c r="G20" s="493">
        <f>RANK(E20,E$5:E$21,0)</f>
        <v>10</v>
      </c>
      <c r="H20" s="494">
        <f>IF(G20&lt;=D$23,D20+0.1,D20)</f>
        <v>0</v>
      </c>
      <c r="I20" s="490">
        <v>10</v>
      </c>
      <c r="J20" s="494">
        <f t="shared" si="1"/>
        <v>0</v>
      </c>
      <c r="K20" s="495">
        <f>IF(I20="-",0,ROUNDDOWN(I20/I$22*100,5)-J20)</f>
        <v>0</v>
      </c>
      <c r="L20" s="515"/>
      <c r="M20" s="496">
        <f>RANK(K20,K$5:K$21,0)</f>
        <v>10</v>
      </c>
      <c r="N20" s="494">
        <f>IF(M20&lt;=J$23,J20+0.1,J20)</f>
        <v>0</v>
      </c>
      <c r="O20" s="497">
        <f t="shared" si="2"/>
        <v>0</v>
      </c>
      <c r="P20" s="498">
        <f t="shared" si="11"/>
        <v>0</v>
      </c>
      <c r="R20" s="261"/>
      <c r="S20" s="262">
        <f t="shared" si="4"/>
        <v>8.6430423509075192E-5</v>
      </c>
    </row>
    <row r="21" spans="1:19" s="213" customFormat="1" ht="33" customHeight="1" thickBot="1">
      <c r="A21" s="727" t="s">
        <v>36</v>
      </c>
      <c r="B21" s="728"/>
      <c r="C21" s="504">
        <f>+グラフデータ!D95</f>
        <v>120000</v>
      </c>
      <c r="D21" s="505">
        <f t="shared" si="0"/>
        <v>0.1</v>
      </c>
      <c r="E21" s="506">
        <f>IF(C21="-",0,ROUNDDOWN(C21/C$22*100,5)-D21)</f>
        <v>3.7099999999999911E-3</v>
      </c>
      <c r="F21" s="516"/>
      <c r="G21" s="507">
        <f>RANK(E21,E$5:E$21,0)</f>
        <v>8</v>
      </c>
      <c r="H21" s="508">
        <f>IF(G21&lt;=D$23,D21+0.1,D21)</f>
        <v>0.1</v>
      </c>
      <c r="I21" s="504">
        <v>120000</v>
      </c>
      <c r="J21" s="508">
        <f t="shared" si="1"/>
        <v>0.1</v>
      </c>
      <c r="K21" s="509">
        <f>IF(I21="-",0,ROUNDDOWN(I21/I$22*100,5)-J21)</f>
        <v>7.3299999999999893E-3</v>
      </c>
      <c r="L21" s="517"/>
      <c r="M21" s="510">
        <f>RANK(K21,K$5:K$21,0)</f>
        <v>8</v>
      </c>
      <c r="N21" s="508">
        <f>IF(M21&lt;=J$23,J21+0.1,J21)</f>
        <v>0.1</v>
      </c>
      <c r="O21" s="511">
        <f t="shared" si="2"/>
        <v>0</v>
      </c>
      <c r="P21" s="512">
        <f t="shared" si="11"/>
        <v>0</v>
      </c>
      <c r="R21" s="261"/>
      <c r="S21" s="262">
        <f t="shared" si="4"/>
        <v>1.0371650821089022</v>
      </c>
    </row>
    <row r="22" spans="1:19" s="213" customFormat="1" ht="33" customHeight="1" thickTop="1">
      <c r="A22" s="723" t="s">
        <v>62</v>
      </c>
      <c r="B22" s="709"/>
      <c r="C22" s="482">
        <f>SUM(C8:C16,C20:C21)</f>
        <v>115700000</v>
      </c>
      <c r="D22" s="483">
        <f>SUM(D8:D16,D20:D21)</f>
        <v>99.59999999999998</v>
      </c>
      <c r="E22" s="484"/>
      <c r="F22" s="484"/>
      <c r="G22" s="484"/>
      <c r="H22" s="485">
        <f>SUM(H8:H16,H20:H21)</f>
        <v>99.999999999999986</v>
      </c>
      <c r="I22" s="482">
        <f>SUM(I8:I16,I20:I21)</f>
        <v>111800000</v>
      </c>
      <c r="J22" s="485">
        <f>SUM(J8:J16,J20:J21)</f>
        <v>99.5</v>
      </c>
      <c r="K22" s="482"/>
      <c r="L22" s="482"/>
      <c r="M22" s="482"/>
      <c r="N22" s="485">
        <f>SUM(N8:N16,N20:N21)</f>
        <v>100</v>
      </c>
      <c r="O22" s="486">
        <f>SUM(O8:O16,O20:O21)</f>
        <v>3900000</v>
      </c>
      <c r="P22" s="487">
        <f>ROUND((C22/I22*100)-100,1)</f>
        <v>3.5</v>
      </c>
      <c r="R22" s="259"/>
      <c r="S22" s="262">
        <f t="shared" si="4"/>
        <v>1000</v>
      </c>
    </row>
    <row r="23" spans="1:19" ht="22.5" customHeight="1">
      <c r="A23" s="264"/>
      <c r="B23" s="264"/>
      <c r="C23" s="265"/>
      <c r="D23" s="266">
        <f>ROUND(1000-D22*10,0)</f>
        <v>4</v>
      </c>
      <c r="E23" s="266" t="s">
        <v>40</v>
      </c>
      <c r="F23" s="266"/>
      <c r="G23" s="266"/>
      <c r="H23" s="267"/>
      <c r="I23" s="265"/>
      <c r="J23" s="265">
        <f>1000-J22*10</f>
        <v>5</v>
      </c>
      <c r="K23" s="265" t="s">
        <v>40</v>
      </c>
      <c r="L23" s="265"/>
      <c r="M23" s="265"/>
      <c r="N23" s="267"/>
      <c r="O23" s="268"/>
      <c r="P23" s="269"/>
    </row>
    <row r="24" spans="1:19" ht="22.5" customHeight="1">
      <c r="A24" s="264"/>
      <c r="B24" s="264"/>
      <c r="C24" s="265"/>
      <c r="D24" s="266">
        <f>ROUND((H8-SUM(D5:D7))*10,0)</f>
        <v>1</v>
      </c>
      <c r="E24" s="266" t="s">
        <v>41</v>
      </c>
      <c r="F24" s="266"/>
      <c r="G24" s="266"/>
      <c r="H24" s="267"/>
      <c r="I24" s="265"/>
      <c r="J24" s="267">
        <f>N8*10-SUM(J5:J7)*10</f>
        <v>1</v>
      </c>
      <c r="K24" s="265" t="s">
        <v>41</v>
      </c>
      <c r="L24" s="265"/>
      <c r="M24" s="265"/>
      <c r="N24" s="267"/>
      <c r="O24" s="268"/>
      <c r="P24" s="269"/>
    </row>
    <row r="25" spans="1:19" ht="31.5" customHeight="1">
      <c r="A25" s="264"/>
      <c r="B25" s="264"/>
      <c r="C25" s="265"/>
      <c r="D25" s="266">
        <f>ROUND(H16*10-SUM(D17:D19)*10,0)</f>
        <v>2</v>
      </c>
      <c r="E25" s="266" t="s">
        <v>42</v>
      </c>
      <c r="F25" s="266"/>
      <c r="G25" s="266"/>
      <c r="H25" s="267"/>
      <c r="I25" s="265"/>
      <c r="J25" s="267">
        <f>N16*10-SUM(J17:J19)*10</f>
        <v>2.0000000000000142</v>
      </c>
      <c r="K25" s="265" t="s">
        <v>42</v>
      </c>
      <c r="L25" s="265"/>
      <c r="M25" s="265"/>
      <c r="N25" s="267"/>
      <c r="O25" s="268"/>
      <c r="P25" s="269"/>
    </row>
    <row r="26" spans="1:19" ht="31.5" customHeight="1">
      <c r="A26" s="264"/>
      <c r="B26" s="264"/>
      <c r="C26" s="265"/>
      <c r="D26" s="271"/>
      <c r="E26" s="266"/>
      <c r="F26" s="266"/>
      <c r="G26" s="266"/>
      <c r="H26" s="267"/>
      <c r="I26" s="265"/>
      <c r="J26" s="267"/>
      <c r="K26" s="265"/>
      <c r="L26" s="265"/>
      <c r="M26" s="265"/>
      <c r="N26" s="267"/>
      <c r="O26" s="268"/>
      <c r="P26" s="269"/>
    </row>
    <row r="27" spans="1:19" ht="31.5" customHeight="1">
      <c r="A27" s="264"/>
      <c r="B27" s="264"/>
      <c r="C27" s="265"/>
      <c r="D27" s="271"/>
      <c r="E27" s="266"/>
      <c r="F27" s="266"/>
      <c r="G27" s="266"/>
      <c r="H27" s="267"/>
      <c r="I27" s="265"/>
      <c r="J27" s="267"/>
      <c r="K27" s="265"/>
      <c r="L27" s="265"/>
      <c r="M27" s="265"/>
      <c r="N27" s="267"/>
      <c r="O27" s="268"/>
      <c r="P27" s="269"/>
    </row>
    <row r="28" spans="1:19" ht="20.25" customHeight="1">
      <c r="B28" s="264"/>
      <c r="C28" s="265"/>
      <c r="D28" s="271"/>
      <c r="E28" s="266"/>
      <c r="F28" s="266"/>
      <c r="G28" s="266"/>
      <c r="H28" s="267"/>
      <c r="I28" s="265"/>
      <c r="J28" s="267"/>
      <c r="K28" s="265"/>
      <c r="L28" s="265"/>
      <c r="M28" s="265"/>
      <c r="N28" s="267"/>
      <c r="O28" s="268"/>
      <c r="P28" s="269"/>
    </row>
    <row r="29" spans="1:19" ht="17.25" customHeight="1">
      <c r="D29" s="273"/>
      <c r="J29" s="274"/>
    </row>
    <row r="30" spans="1:19">
      <c r="D30" s="275"/>
      <c r="J30" s="276"/>
    </row>
    <row r="31" spans="1:19">
      <c r="D31" s="275"/>
      <c r="J31" s="276"/>
    </row>
    <row r="32" spans="1:19">
      <c r="A32" s="724"/>
      <c r="B32" s="724"/>
      <c r="C32" s="724"/>
      <c r="D32" s="724"/>
      <c r="E32" s="724"/>
      <c r="F32" s="724"/>
      <c r="G32" s="724"/>
      <c r="H32" s="724"/>
      <c r="I32" s="724"/>
      <c r="J32" s="724"/>
      <c r="K32" s="724"/>
      <c r="L32" s="724"/>
      <c r="M32" s="724"/>
      <c r="N32" s="724"/>
      <c r="O32" s="724"/>
      <c r="P32" s="724"/>
    </row>
    <row r="47" spans="46:82">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3"/>
      <c r="BR47" s="323"/>
      <c r="BS47" s="323"/>
      <c r="BT47" s="323"/>
      <c r="BU47" s="323"/>
      <c r="BV47" s="323"/>
      <c r="BW47" s="323"/>
      <c r="BX47" s="323"/>
      <c r="BY47" s="323"/>
      <c r="BZ47" s="323"/>
      <c r="CA47" s="323"/>
      <c r="CB47" s="323"/>
      <c r="CC47" s="323"/>
      <c r="CD47" s="323"/>
    </row>
    <row r="48" spans="46:82">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3"/>
      <c r="BR48" s="323"/>
      <c r="BS48" s="323"/>
      <c r="BT48" s="323"/>
      <c r="BU48" s="323"/>
      <c r="BV48" s="323"/>
      <c r="BW48" s="323"/>
      <c r="BX48" s="323"/>
      <c r="BY48" s="323"/>
      <c r="BZ48" s="323"/>
      <c r="CA48" s="323"/>
      <c r="CB48" s="323"/>
      <c r="CC48" s="323"/>
      <c r="CD48" s="323"/>
    </row>
  </sheetData>
  <mergeCells count="18">
    <mergeCell ref="A14:B14"/>
    <mergeCell ref="A1:P1"/>
    <mergeCell ref="A4:B4"/>
    <mergeCell ref="A5:B5"/>
    <mergeCell ref="A6:B6"/>
    <mergeCell ref="A7:B7"/>
    <mergeCell ref="A8:B8"/>
    <mergeCell ref="A9:B9"/>
    <mergeCell ref="A10:B10"/>
    <mergeCell ref="A11:B11"/>
    <mergeCell ref="A12:B12"/>
    <mergeCell ref="A13:B13"/>
    <mergeCell ref="A22:B22"/>
    <mergeCell ref="A32:P32"/>
    <mergeCell ref="A15:B15"/>
    <mergeCell ref="A16:B16"/>
    <mergeCell ref="A20:B20"/>
    <mergeCell ref="A21:B21"/>
  </mergeCells>
  <phoneticPr fontId="6"/>
  <printOptions horizontalCentered="1"/>
  <pageMargins left="0.31496062992125984" right="0.19685039370078741" top="0.6692913385826772" bottom="0.19685039370078741" header="0.51181102362204722" footer="0.51181102362204722"/>
  <pageSetup paperSize="9"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CD56"/>
  <sheetViews>
    <sheetView view="pageBreakPreview" zoomScale="115" zoomScaleNormal="100" zoomScaleSheetLayoutView="115" workbookViewId="0">
      <selection activeCell="G66" sqref="G66"/>
    </sheetView>
  </sheetViews>
  <sheetFormatPr defaultColWidth="9" defaultRowHeight="14.25"/>
  <cols>
    <col min="1" max="12" width="3.625" style="1" customWidth="1"/>
    <col min="13" max="14" width="3.625" style="3" customWidth="1"/>
    <col min="15" max="37" width="3.625" style="1" customWidth="1"/>
    <col min="38" max="16384" width="9" style="1"/>
  </cols>
  <sheetData>
    <row r="1" spans="1:46" s="83" customFormat="1" ht="18.75">
      <c r="A1" s="82"/>
      <c r="B1" s="82"/>
      <c r="G1" s="84"/>
    </row>
    <row r="2" spans="1:46" s="83" customFormat="1" ht="17.25">
      <c r="A2" s="719" t="s">
        <v>130</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row>
    <row r="3" spans="1:46" s="83" customFormat="1" ht="17.25">
      <c r="A3" s="719"/>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row>
    <row r="4" spans="1:46" s="83" customFormat="1" ht="17.25">
      <c r="G4" s="84"/>
    </row>
    <row r="5" spans="1:46" s="83" customFormat="1" ht="17.25">
      <c r="A5" s="158"/>
      <c r="B5" s="187"/>
      <c r="C5" s="158"/>
      <c r="D5" s="158"/>
      <c r="E5" s="158"/>
      <c r="F5" s="158"/>
      <c r="G5" s="158"/>
      <c r="H5" s="158"/>
      <c r="I5" s="158"/>
      <c r="J5" s="158"/>
      <c r="K5" s="158"/>
      <c r="L5" s="158"/>
      <c r="M5" s="158"/>
      <c r="N5" s="158"/>
      <c r="O5" s="158"/>
      <c r="P5" s="158"/>
      <c r="Q5" s="158"/>
      <c r="R5" s="158"/>
      <c r="S5" s="158"/>
      <c r="T5" s="158"/>
      <c r="U5" s="158"/>
      <c r="V5" s="158"/>
      <c r="W5" s="158"/>
      <c r="X5" s="158"/>
      <c r="Y5" s="158"/>
      <c r="Z5" s="158"/>
      <c r="AA5" s="160" t="s">
        <v>205</v>
      </c>
    </row>
    <row r="6" spans="1:46" s="83" customFormat="1" ht="17.25">
      <c r="A6" s="158"/>
      <c r="B6" s="188"/>
      <c r="C6" s="158"/>
      <c r="D6" s="158"/>
      <c r="E6" s="158"/>
      <c r="F6" s="158"/>
      <c r="G6" s="158"/>
      <c r="H6" s="158"/>
      <c r="I6" s="158"/>
      <c r="J6" s="158"/>
      <c r="K6" s="158"/>
      <c r="L6" s="158"/>
      <c r="M6" s="158"/>
      <c r="N6" s="160"/>
      <c r="O6" s="158"/>
      <c r="P6" s="158"/>
      <c r="Q6" s="158"/>
      <c r="R6" s="158"/>
      <c r="S6" s="158"/>
      <c r="T6" s="158"/>
      <c r="U6" s="158"/>
      <c r="V6" s="158"/>
      <c r="W6" s="158"/>
      <c r="X6" s="158"/>
      <c r="Y6" s="158"/>
      <c r="Z6" s="158"/>
      <c r="AA6" s="158"/>
    </row>
    <row r="7" spans="1:46" s="83" customFormat="1" ht="17.25">
      <c r="A7" s="158"/>
      <c r="B7" s="188"/>
      <c r="C7" s="158"/>
      <c r="D7" s="158"/>
      <c r="E7" s="158"/>
      <c r="F7" s="158"/>
      <c r="G7" s="158"/>
      <c r="H7" s="158"/>
      <c r="I7" s="158"/>
      <c r="J7" s="158"/>
      <c r="K7" s="158"/>
      <c r="L7" s="158"/>
      <c r="M7" s="158"/>
      <c r="N7" s="160"/>
      <c r="O7" s="158"/>
      <c r="P7" s="158"/>
      <c r="Q7" s="158"/>
      <c r="R7" s="158"/>
      <c r="S7" s="158"/>
      <c r="T7" s="158"/>
      <c r="U7" s="158"/>
      <c r="V7" s="158"/>
      <c r="W7" s="158"/>
      <c r="X7" s="158"/>
      <c r="Y7" s="158"/>
      <c r="Z7" s="158"/>
      <c r="AA7" s="158"/>
    </row>
    <row r="8" spans="1:46" s="83" customFormat="1" ht="17.25">
      <c r="A8" s="167"/>
      <c r="B8" s="188"/>
      <c r="C8" s="158"/>
      <c r="D8" s="158"/>
      <c r="E8" s="158"/>
      <c r="F8" s="158"/>
      <c r="G8" s="158"/>
      <c r="H8" s="158"/>
      <c r="I8" s="158"/>
      <c r="J8" s="158"/>
      <c r="K8" s="158"/>
      <c r="L8" s="158"/>
      <c r="M8" s="158"/>
      <c r="N8" s="158"/>
      <c r="O8" s="158"/>
      <c r="P8" s="158"/>
      <c r="Q8" s="158"/>
      <c r="R8" s="158"/>
      <c r="S8" s="189" t="s">
        <v>186</v>
      </c>
      <c r="T8" s="189"/>
      <c r="U8" s="190"/>
      <c r="V8" s="174"/>
      <c r="W8" s="718">
        <f>グラフデータ!D94</f>
        <v>114010</v>
      </c>
      <c r="X8" s="718"/>
      <c r="Y8" s="175" t="s">
        <v>143</v>
      </c>
      <c r="Z8" s="310">
        <f>グラフデータ!E94</f>
        <v>0.1</v>
      </c>
      <c r="AA8" s="177" t="s">
        <v>144</v>
      </c>
    </row>
    <row r="9" spans="1:46" s="83" customFormat="1" ht="17.25">
      <c r="A9" s="158"/>
      <c r="B9" s="158"/>
      <c r="C9" s="158"/>
      <c r="D9" s="158"/>
      <c r="E9" s="158"/>
      <c r="F9" s="158"/>
      <c r="G9" s="159"/>
      <c r="H9" s="158"/>
      <c r="I9" s="158"/>
      <c r="J9" s="158"/>
      <c r="K9" s="158"/>
      <c r="L9" s="158"/>
      <c r="M9" s="158"/>
      <c r="N9" s="158"/>
      <c r="O9" s="158"/>
      <c r="P9" s="158"/>
      <c r="Q9" s="158"/>
      <c r="R9" s="158"/>
      <c r="S9" s="178" t="s">
        <v>36</v>
      </c>
      <c r="T9" s="178"/>
      <c r="U9" s="188"/>
      <c r="V9" s="170"/>
      <c r="W9" s="713">
        <f>グラフデータ!D95</f>
        <v>120000</v>
      </c>
      <c r="X9" s="713"/>
      <c r="Y9" s="179" t="s">
        <v>145</v>
      </c>
      <c r="Z9" s="191">
        <f>グラフデータ!E95</f>
        <v>0.1</v>
      </c>
      <c r="AA9" s="181" t="s">
        <v>146</v>
      </c>
      <c r="AL9" s="89"/>
      <c r="AM9" s="89"/>
      <c r="AN9" s="89"/>
      <c r="AO9" s="85"/>
      <c r="AP9" s="712"/>
      <c r="AQ9" s="712"/>
      <c r="AR9" s="86"/>
      <c r="AS9" s="87"/>
      <c r="AT9" s="89"/>
    </row>
    <row r="10" spans="1:46" s="83" customFormat="1" ht="17.25">
      <c r="A10" s="158"/>
      <c r="B10" s="735" t="s">
        <v>131</v>
      </c>
      <c r="C10" s="736"/>
      <c r="D10" s="736"/>
      <c r="E10" s="736"/>
      <c r="F10" s="736"/>
      <c r="G10" s="736"/>
      <c r="H10" s="736"/>
      <c r="I10" s="737"/>
      <c r="J10" s="158"/>
      <c r="K10" s="158"/>
      <c r="L10" s="158"/>
      <c r="M10" s="158"/>
      <c r="N10" s="158"/>
      <c r="O10" s="158"/>
      <c r="P10" s="158"/>
      <c r="Q10" s="158"/>
      <c r="R10" s="158"/>
      <c r="S10" s="178" t="s">
        <v>69</v>
      </c>
      <c r="T10" s="178"/>
      <c r="U10" s="188"/>
      <c r="V10" s="170"/>
      <c r="W10" s="713">
        <f>グラフデータ!D96</f>
        <v>69450</v>
      </c>
      <c r="X10" s="713"/>
      <c r="Y10" s="179" t="s">
        <v>145</v>
      </c>
      <c r="Z10" s="191">
        <f>グラフデータ!E96</f>
        <v>0.1</v>
      </c>
      <c r="AA10" s="181" t="s">
        <v>146</v>
      </c>
    </row>
    <row r="11" spans="1:46" s="83" customFormat="1" ht="17.25">
      <c r="A11" s="158"/>
      <c r="B11" s="738" t="s">
        <v>72</v>
      </c>
      <c r="C11" s="739"/>
      <c r="D11" s="739"/>
      <c r="E11" s="733">
        <f>グラフデータ!D86</f>
        <v>2147300</v>
      </c>
      <c r="F11" s="733"/>
      <c r="G11" s="179" t="s">
        <v>137</v>
      </c>
      <c r="H11" s="191">
        <f>グラフデータ!E86</f>
        <v>1.9</v>
      </c>
      <c r="I11" s="181" t="s">
        <v>138</v>
      </c>
      <c r="J11" s="158"/>
      <c r="K11" s="158"/>
      <c r="L11" s="158"/>
      <c r="M11" s="158"/>
      <c r="N11" s="158"/>
      <c r="O11" s="158"/>
      <c r="P11" s="158"/>
      <c r="Q11" s="158"/>
      <c r="R11" s="158"/>
      <c r="S11" s="182" t="s">
        <v>75</v>
      </c>
      <c r="T11" s="182"/>
      <c r="U11" s="192"/>
      <c r="V11" s="183"/>
      <c r="W11" s="720">
        <f>グラフデータ!D97</f>
        <v>10</v>
      </c>
      <c r="X11" s="720"/>
      <c r="Y11" s="184" t="s">
        <v>147</v>
      </c>
      <c r="Z11" s="195">
        <f>グラフデータ!E97</f>
        <v>0</v>
      </c>
      <c r="AA11" s="186" t="s">
        <v>148</v>
      </c>
    </row>
    <row r="12" spans="1:46" s="83" customFormat="1" ht="17.25">
      <c r="A12" s="167"/>
      <c r="B12" s="193" t="s">
        <v>73</v>
      </c>
      <c r="C12" s="170"/>
      <c r="D12" s="188"/>
      <c r="E12" s="733">
        <f>グラフデータ!D87</f>
        <v>10654950</v>
      </c>
      <c r="F12" s="733"/>
      <c r="G12" s="179" t="s">
        <v>137</v>
      </c>
      <c r="H12" s="191">
        <f>グラフデータ!E87</f>
        <v>9.1999999999999993</v>
      </c>
      <c r="I12" s="181" t="s">
        <v>138</v>
      </c>
      <c r="J12" s="158"/>
      <c r="K12" s="158"/>
      <c r="L12" s="158"/>
      <c r="M12" s="158"/>
      <c r="N12" s="158"/>
      <c r="O12" s="158"/>
      <c r="P12" s="158"/>
      <c r="Q12" s="158"/>
      <c r="R12" s="158"/>
      <c r="S12" s="158"/>
      <c r="T12" s="158"/>
      <c r="U12" s="158"/>
      <c r="V12" s="158"/>
      <c r="W12" s="158"/>
      <c r="X12" s="158"/>
      <c r="Y12" s="158"/>
      <c r="Z12" s="158"/>
      <c r="AA12" s="158"/>
    </row>
    <row r="13" spans="1:46" s="83" customFormat="1" ht="17.25">
      <c r="A13" s="167"/>
      <c r="B13" s="194" t="s">
        <v>74</v>
      </c>
      <c r="C13" s="183"/>
      <c r="D13" s="192"/>
      <c r="E13" s="734">
        <f>グラフデータ!D88</f>
        <v>111500</v>
      </c>
      <c r="F13" s="734"/>
      <c r="G13" s="184" t="s">
        <v>137</v>
      </c>
      <c r="H13" s="195">
        <f>グラフデータ!E88</f>
        <v>0.1</v>
      </c>
      <c r="I13" s="186" t="s">
        <v>138</v>
      </c>
      <c r="J13" s="158"/>
      <c r="K13" s="158"/>
      <c r="L13" s="158"/>
      <c r="M13" s="158"/>
      <c r="N13" s="158"/>
      <c r="O13" s="158"/>
      <c r="P13" s="158"/>
      <c r="Q13" s="158"/>
      <c r="R13" s="158"/>
      <c r="S13" s="158"/>
      <c r="T13" s="158"/>
      <c r="U13" s="158"/>
      <c r="V13" s="158"/>
      <c r="W13" s="158"/>
      <c r="X13" s="158"/>
      <c r="Y13" s="158"/>
      <c r="Z13" s="158"/>
      <c r="AA13" s="158"/>
    </row>
    <row r="14" spans="1:46" s="83" customFormat="1" ht="17.25">
      <c r="A14" s="158"/>
      <c r="B14" s="158"/>
      <c r="C14" s="158"/>
      <c r="D14" s="158"/>
      <c r="E14" s="158"/>
      <c r="F14" s="158"/>
      <c r="G14" s="159"/>
      <c r="H14" s="158"/>
      <c r="I14" s="158"/>
      <c r="J14" s="158"/>
      <c r="K14" s="158"/>
      <c r="L14" s="158"/>
      <c r="M14" s="158"/>
      <c r="N14" s="158"/>
      <c r="O14" s="158"/>
      <c r="P14" s="158"/>
      <c r="Q14" s="158"/>
      <c r="R14" s="158"/>
      <c r="S14" s="158"/>
      <c r="T14" s="158"/>
      <c r="U14" s="158"/>
      <c r="V14" s="158"/>
      <c r="W14" s="158"/>
      <c r="X14" s="158"/>
      <c r="Y14" s="158"/>
      <c r="Z14" s="158"/>
      <c r="AA14" s="158"/>
    </row>
    <row r="15" spans="1:46" s="83" customFormat="1" ht="17.25">
      <c r="G15" s="84"/>
    </row>
    <row r="16" spans="1:46" s="83" customFormat="1" ht="17.25">
      <c r="G16" s="84"/>
    </row>
    <row r="17" spans="7:15" s="83" customFormat="1" ht="17.25">
      <c r="G17" s="84"/>
    </row>
    <row r="18" spans="7:15" s="83" customFormat="1" ht="17.25">
      <c r="G18" s="84"/>
    </row>
    <row r="19" spans="7:15" s="83" customFormat="1" ht="17.25">
      <c r="G19" s="84"/>
    </row>
    <row r="20" spans="7:15" s="83" customFormat="1" ht="17.25">
      <c r="G20" s="84"/>
    </row>
    <row r="21" spans="7:15" s="83" customFormat="1" ht="17.25">
      <c r="G21" s="84"/>
    </row>
    <row r="22" spans="7:15" s="83" customFormat="1" ht="17.25">
      <c r="G22" s="84"/>
    </row>
    <row r="23" spans="7:15" s="83" customFormat="1" ht="17.25">
      <c r="G23" s="84"/>
    </row>
    <row r="24" spans="7:15" s="83" customFormat="1" ht="17.25">
      <c r="G24" s="84"/>
    </row>
    <row r="25" spans="7:15" s="83" customFormat="1" ht="17.25">
      <c r="G25" s="84"/>
    </row>
    <row r="26" spans="7:15" s="83" customFormat="1" ht="17.25">
      <c r="G26" s="84"/>
    </row>
    <row r="27" spans="7:15" s="83" customFormat="1" ht="17.25">
      <c r="G27" s="84"/>
    </row>
    <row r="28" spans="7:15" s="83" customFormat="1" ht="17.25">
      <c r="G28" s="84"/>
    </row>
    <row r="29" spans="7:15" s="83" customFormat="1" ht="17.25">
      <c r="G29" s="84"/>
    </row>
    <row r="30" spans="7:15" s="83" customFormat="1" ht="17.25">
      <c r="G30" s="84"/>
      <c r="O30" s="88"/>
    </row>
    <row r="31" spans="7:15" s="83" customFormat="1" ht="17.25">
      <c r="G31" s="84"/>
    </row>
    <row r="32" spans="7:15" s="83" customFormat="1" ht="17.25">
      <c r="G32" s="84"/>
    </row>
    <row r="33" spans="7:82" s="83" customFormat="1" ht="17.25">
      <c r="G33" s="84"/>
    </row>
    <row r="34" spans="7:82" s="83" customFormat="1" ht="17.25">
      <c r="G34" s="84"/>
    </row>
    <row r="35" spans="7:82" s="83" customFormat="1" ht="17.25">
      <c r="G35" s="84"/>
    </row>
    <row r="36" spans="7:82" s="83" customFormat="1" ht="17.25">
      <c r="G36" s="84"/>
    </row>
    <row r="37" spans="7:82" s="83" customFormat="1" ht="17.25">
      <c r="G37" s="84"/>
    </row>
    <row r="38" spans="7:82" s="83" customFormat="1" ht="17.25">
      <c r="G38" s="84"/>
    </row>
    <row r="39" spans="7:82" s="83" customFormat="1" ht="17.25">
      <c r="G39" s="84"/>
    </row>
    <row r="40" spans="7:82" s="83" customFormat="1" ht="17.25">
      <c r="G40" s="84"/>
    </row>
    <row r="41" spans="7:82" s="83" customFormat="1" ht="17.25">
      <c r="G41" s="84"/>
    </row>
    <row r="42" spans="7:82" s="83" customFormat="1" ht="17.25">
      <c r="G42" s="84"/>
    </row>
    <row r="43" spans="7:82" s="83" customFormat="1" ht="17.25">
      <c r="G43" s="84"/>
    </row>
    <row r="44" spans="7:82" s="83" customFormat="1" ht="17.25">
      <c r="G44" s="84"/>
    </row>
    <row r="45" spans="7:82" s="83" customFormat="1" ht="17.25">
      <c r="G45" s="84"/>
    </row>
    <row r="46" spans="7:82" s="83" customFormat="1" ht="17.25">
      <c r="G46" s="84"/>
      <c r="P46" s="90"/>
      <c r="Q46" s="90"/>
      <c r="R46" s="89"/>
      <c r="S46" s="89"/>
      <c r="T46" s="89"/>
      <c r="U46" s="89"/>
      <c r="V46" s="89"/>
      <c r="W46" s="89"/>
      <c r="X46" s="89"/>
      <c r="Y46" s="89"/>
      <c r="Z46" s="89"/>
      <c r="AA46" s="89"/>
    </row>
    <row r="47" spans="7:82" s="83" customFormat="1" ht="17.25">
      <c r="G47" s="84"/>
      <c r="P47" s="89"/>
      <c r="Q47" s="85"/>
      <c r="R47" s="89"/>
      <c r="S47" s="89"/>
      <c r="T47" s="89"/>
      <c r="U47" s="89"/>
      <c r="V47" s="89"/>
      <c r="W47" s="89"/>
      <c r="X47" s="89"/>
      <c r="Y47" s="89"/>
      <c r="Z47" s="89"/>
      <c r="AA47" s="89"/>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6"/>
      <c r="BR47" s="326"/>
      <c r="BS47" s="326"/>
      <c r="BT47" s="326"/>
      <c r="BU47" s="326"/>
      <c r="BV47" s="326"/>
      <c r="BW47" s="326"/>
      <c r="BX47" s="326"/>
      <c r="BY47" s="326"/>
      <c r="BZ47" s="326"/>
      <c r="CA47" s="326"/>
      <c r="CB47" s="326"/>
      <c r="CC47" s="326"/>
      <c r="CD47" s="326"/>
    </row>
    <row r="48" spans="7:82" s="83" customFormat="1" ht="17.25">
      <c r="G48" s="84"/>
      <c r="P48" s="89"/>
      <c r="Q48" s="85"/>
      <c r="R48" s="89"/>
      <c r="S48" s="89"/>
      <c r="T48" s="89"/>
      <c r="U48" s="89"/>
      <c r="V48" s="89"/>
      <c r="W48" s="89"/>
      <c r="X48" s="89"/>
      <c r="Y48" s="89"/>
      <c r="Z48" s="89"/>
      <c r="AA48" s="89"/>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26"/>
    </row>
    <row r="49" spans="7:27" s="83" customFormat="1" ht="17.25">
      <c r="G49" s="84"/>
      <c r="P49" s="89"/>
      <c r="Q49" s="85"/>
      <c r="R49" s="89"/>
      <c r="S49" s="89"/>
      <c r="T49" s="89"/>
      <c r="U49" s="89"/>
      <c r="V49" s="89"/>
      <c r="W49" s="89"/>
      <c r="X49" s="89"/>
      <c r="Y49" s="89"/>
      <c r="Z49" s="89"/>
      <c r="AA49" s="89"/>
    </row>
    <row r="50" spans="7:27" s="83" customFormat="1" ht="17.25">
      <c r="G50" s="84"/>
    </row>
    <row r="51" spans="7:27" s="83" customFormat="1" ht="17.25">
      <c r="G51" s="84"/>
    </row>
    <row r="52" spans="7:27" s="83" customFormat="1" ht="17.25">
      <c r="G52" s="84"/>
    </row>
    <row r="53" spans="7:27" s="83" customFormat="1" ht="17.25">
      <c r="G53" s="84"/>
    </row>
    <row r="54" spans="7:27" s="83" customFormat="1" ht="17.25">
      <c r="G54" s="84"/>
    </row>
    <row r="55" spans="7:27" s="83" customFormat="1" ht="17.25">
      <c r="G55" s="84"/>
    </row>
    <row r="56" spans="7:27" s="83" customFormat="1" ht="17.25">
      <c r="G56" s="84"/>
    </row>
  </sheetData>
  <mergeCells count="11">
    <mergeCell ref="A2:AA3"/>
    <mergeCell ref="AP9:AQ9"/>
    <mergeCell ref="E12:F12"/>
    <mergeCell ref="E13:F13"/>
    <mergeCell ref="W11:X11"/>
    <mergeCell ref="W8:X8"/>
    <mergeCell ref="W9:X9"/>
    <mergeCell ref="W10:X10"/>
    <mergeCell ref="B10:I10"/>
    <mergeCell ref="B11:D11"/>
    <mergeCell ref="E11:F11"/>
  </mergeCells>
  <phoneticPr fontId="6"/>
  <printOptions horizontalCentered="1"/>
  <pageMargins left="0.78740157480314965" right="0.55118110236220474" top="0.78740157480314965" bottom="0.62992125984251968" header="0.51181102362204722" footer="0.51181102362204722"/>
  <pageSetup paperSize="9" scale="90"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CD48"/>
  <sheetViews>
    <sheetView view="pageBreakPreview" zoomScaleNormal="100" zoomScaleSheetLayoutView="100" workbookViewId="0">
      <selection activeCell="G66" sqref="G66"/>
    </sheetView>
  </sheetViews>
  <sheetFormatPr defaultColWidth="9" defaultRowHeight="14.25" outlineLevelCol="1"/>
  <cols>
    <col min="1" max="1" width="4.875" style="253" customWidth="1"/>
    <col min="2" max="2" width="19.625" style="253" customWidth="1"/>
    <col min="3" max="3" width="14.625" style="253" customWidth="1"/>
    <col min="4" max="4" width="8.125" style="255" hidden="1" customWidth="1" outlineLevel="1"/>
    <col min="5" max="5" width="13" style="255" hidden="1" customWidth="1" outlineLevel="1"/>
    <col min="6" max="6" width="9.375" style="255" hidden="1" customWidth="1" outlineLevel="1"/>
    <col min="7" max="7" width="7.875" style="253" customWidth="1" collapsed="1"/>
    <col min="8" max="8" width="14.625" style="253" customWidth="1"/>
    <col min="9" max="9" width="8.625" style="255" hidden="1" customWidth="1" outlineLevel="1"/>
    <col min="10" max="10" width="8.5" style="255" hidden="1" customWidth="1" outlineLevel="1"/>
    <col min="11" max="11" width="8.875" style="255" hidden="1" customWidth="1" outlineLevel="1"/>
    <col min="12" max="12" width="7.875" style="253" customWidth="1" collapsed="1"/>
    <col min="13" max="13" width="14.625" style="277" customWidth="1"/>
    <col min="14" max="14" width="8.875" style="277" customWidth="1"/>
    <col min="15" max="15" width="9.875" style="253" customWidth="1"/>
    <col min="16" max="16" width="10.25" style="253" bestFit="1" customWidth="1"/>
    <col min="17" max="16384" width="9" style="253"/>
  </cols>
  <sheetData>
    <row r="1" spans="1:16" ht="27.95" customHeight="1">
      <c r="A1" s="740" t="s">
        <v>80</v>
      </c>
      <c r="B1" s="740"/>
      <c r="C1" s="740"/>
      <c r="D1" s="740"/>
      <c r="E1" s="740"/>
      <c r="F1" s="740"/>
      <c r="G1" s="740"/>
      <c r="H1" s="740"/>
      <c r="I1" s="740"/>
      <c r="J1" s="740"/>
      <c r="K1" s="740"/>
      <c r="L1" s="740"/>
      <c r="M1" s="740"/>
      <c r="N1" s="740"/>
      <c r="O1" s="196"/>
      <c r="P1" s="196" t="s">
        <v>181</v>
      </c>
    </row>
    <row r="2" spans="1:16" ht="24.95" customHeight="1">
      <c r="N2" s="278" t="s">
        <v>43</v>
      </c>
      <c r="O2" s="200"/>
      <c r="P2" s="158"/>
    </row>
    <row r="3" spans="1:16" s="280" customFormat="1" ht="29.25" customHeight="1">
      <c r="A3" s="279" t="s">
        <v>88</v>
      </c>
      <c r="B3" s="524" t="s">
        <v>0</v>
      </c>
      <c r="C3" s="480" t="s">
        <v>76</v>
      </c>
      <c r="D3" s="480" t="s">
        <v>16</v>
      </c>
      <c r="E3" s="480" t="s">
        <v>17</v>
      </c>
      <c r="F3" s="480" t="s">
        <v>85</v>
      </c>
      <c r="G3" s="480" t="s">
        <v>15</v>
      </c>
      <c r="H3" s="480" t="s">
        <v>44</v>
      </c>
      <c r="I3" s="480" t="s">
        <v>16</v>
      </c>
      <c r="J3" s="480" t="s">
        <v>17</v>
      </c>
      <c r="K3" s="480" t="s">
        <v>85</v>
      </c>
      <c r="L3" s="480" t="s">
        <v>15</v>
      </c>
      <c r="M3" s="527" t="s">
        <v>12</v>
      </c>
      <c r="N3" s="527" t="s">
        <v>45</v>
      </c>
      <c r="O3" s="245"/>
      <c r="P3" s="205" t="s">
        <v>182</v>
      </c>
    </row>
    <row r="4" spans="1:16" s="280" customFormat="1" ht="33" customHeight="1">
      <c r="A4" s="741" t="s">
        <v>78</v>
      </c>
      <c r="B4" s="528" t="s">
        <v>18</v>
      </c>
      <c r="C4" s="490">
        <f>歳入款別!C5</f>
        <v>47149000</v>
      </c>
      <c r="D4" s="494">
        <f t="shared" ref="D4:D11" si="0">ROUNDDOWN(C4/C$27*100,1)</f>
        <v>40.700000000000003</v>
      </c>
      <c r="E4" s="495">
        <f t="shared" ref="E4:E11" si="1">IF(C4="-",0,ROUNDDOWN(C4/C$27*100,5)-D4)</f>
        <v>5.1079999999998904E-2</v>
      </c>
      <c r="F4" s="496">
        <f t="shared" ref="F4:F11" si="2">RANK(E4,E$4:E$26)</f>
        <v>10</v>
      </c>
      <c r="G4" s="494">
        <f t="shared" ref="G4:G11" si="3">IF(F4&lt;=D$28,D4+0.1,D4)</f>
        <v>40.800000000000004</v>
      </c>
      <c r="H4" s="490">
        <f>歳入款別!H5</f>
        <v>48244000</v>
      </c>
      <c r="I4" s="494">
        <f t="shared" ref="I4:I11" si="4">ROUNDDOWN(H4/H$27*100,1)</f>
        <v>43.1</v>
      </c>
      <c r="J4" s="495">
        <f t="shared" ref="J4:J11" si="5">IF(H4="-",0,ROUNDDOWN(H4/H$27*100,5)-I4)</f>
        <v>5.2050000000001262E-2</v>
      </c>
      <c r="K4" s="496">
        <f t="shared" ref="K4:K11" si="6">RANK(J4,J$4:J$26)</f>
        <v>8</v>
      </c>
      <c r="L4" s="494">
        <f t="shared" ref="L4:L11" si="7">IF(K4&lt;=I$28,I4+0.1,I4)</f>
        <v>43.2</v>
      </c>
      <c r="M4" s="497">
        <f t="shared" ref="M4:M11" si="8">C4-H4</f>
        <v>-1095000</v>
      </c>
      <c r="N4" s="498">
        <f>IF(C4="-","　皆減",ROUND((C4/H4*100)-100,1))</f>
        <v>-2.2999999999999998</v>
      </c>
    </row>
    <row r="5" spans="1:16" s="280" customFormat="1" ht="33" customHeight="1">
      <c r="A5" s="742"/>
      <c r="B5" s="528" t="s">
        <v>25</v>
      </c>
      <c r="C5" s="490">
        <f>歳入款別!C16</f>
        <v>532880</v>
      </c>
      <c r="D5" s="494">
        <f t="shared" si="0"/>
        <v>0.4</v>
      </c>
      <c r="E5" s="495">
        <f t="shared" si="1"/>
        <v>6.0569999999999957E-2</v>
      </c>
      <c r="F5" s="496">
        <f t="shared" si="2"/>
        <v>8</v>
      </c>
      <c r="G5" s="494">
        <f t="shared" si="3"/>
        <v>0.5</v>
      </c>
      <c r="H5" s="490">
        <f>歳入款別!H16</f>
        <v>495280</v>
      </c>
      <c r="I5" s="494">
        <f t="shared" si="4"/>
        <v>0.4</v>
      </c>
      <c r="J5" s="495">
        <f t="shared" si="5"/>
        <v>4.2999999999999983E-2</v>
      </c>
      <c r="K5" s="496">
        <f t="shared" si="6"/>
        <v>10</v>
      </c>
      <c r="L5" s="494">
        <f t="shared" si="7"/>
        <v>0.4</v>
      </c>
      <c r="M5" s="497">
        <f t="shared" si="8"/>
        <v>37600</v>
      </c>
      <c r="N5" s="498">
        <f t="shared" ref="N5:N27" si="9">IF(C5="-","　皆減",ROUND((C5/H5*100)-100,1))</f>
        <v>7.6</v>
      </c>
    </row>
    <row r="6" spans="1:16" s="280" customFormat="1" ht="33" customHeight="1">
      <c r="A6" s="742"/>
      <c r="B6" s="528" t="s">
        <v>48</v>
      </c>
      <c r="C6" s="490">
        <f>歳入款別!C17</f>
        <v>1531925</v>
      </c>
      <c r="D6" s="494">
        <f t="shared" si="0"/>
        <v>1.3</v>
      </c>
      <c r="E6" s="495">
        <f t="shared" si="1"/>
        <v>2.4040000000000061E-2</v>
      </c>
      <c r="F6" s="496">
        <f t="shared" si="2"/>
        <v>16</v>
      </c>
      <c r="G6" s="494">
        <f t="shared" si="3"/>
        <v>1.3</v>
      </c>
      <c r="H6" s="490">
        <f>歳入款別!H17</f>
        <v>1467075</v>
      </c>
      <c r="I6" s="494">
        <f t="shared" si="4"/>
        <v>1.3</v>
      </c>
      <c r="J6" s="495">
        <f t="shared" si="5"/>
        <v>1.2229999999999963E-2</v>
      </c>
      <c r="K6" s="496">
        <f t="shared" si="6"/>
        <v>17</v>
      </c>
      <c r="L6" s="494">
        <f t="shared" si="7"/>
        <v>1.3</v>
      </c>
      <c r="M6" s="497">
        <f t="shared" si="8"/>
        <v>64850</v>
      </c>
      <c r="N6" s="498">
        <f t="shared" si="9"/>
        <v>4.4000000000000004</v>
      </c>
    </row>
    <row r="7" spans="1:16" s="280" customFormat="1" ht="33" customHeight="1">
      <c r="A7" s="742"/>
      <c r="B7" s="528" t="s">
        <v>28</v>
      </c>
      <c r="C7" s="490">
        <f>歳入款別!C20</f>
        <v>103010</v>
      </c>
      <c r="D7" s="494">
        <f t="shared" si="0"/>
        <v>0</v>
      </c>
      <c r="E7" s="495">
        <f t="shared" si="1"/>
        <v>8.9029999999999998E-2</v>
      </c>
      <c r="F7" s="496">
        <f t="shared" si="2"/>
        <v>2</v>
      </c>
      <c r="G7" s="494">
        <f t="shared" si="3"/>
        <v>0.1</v>
      </c>
      <c r="H7" s="490">
        <f>歳入款別!H20</f>
        <v>85610</v>
      </c>
      <c r="I7" s="494">
        <f t="shared" si="4"/>
        <v>0</v>
      </c>
      <c r="J7" s="495">
        <f t="shared" si="5"/>
        <v>7.6569999999999999E-2</v>
      </c>
      <c r="K7" s="496">
        <f t="shared" si="6"/>
        <v>5</v>
      </c>
      <c r="L7" s="494">
        <f t="shared" si="7"/>
        <v>0.1</v>
      </c>
      <c r="M7" s="497">
        <f t="shared" si="8"/>
        <v>17400</v>
      </c>
      <c r="N7" s="498">
        <f t="shared" si="9"/>
        <v>20.3</v>
      </c>
    </row>
    <row r="8" spans="1:16" s="280" customFormat="1" ht="33" customHeight="1">
      <c r="A8" s="742"/>
      <c r="B8" s="528" t="s">
        <v>29</v>
      </c>
      <c r="C8" s="490">
        <f>歳入款別!C21</f>
        <v>52000</v>
      </c>
      <c r="D8" s="494">
        <f t="shared" si="0"/>
        <v>0</v>
      </c>
      <c r="E8" s="495">
        <f t="shared" si="1"/>
        <v>4.4940000000000001E-2</v>
      </c>
      <c r="F8" s="496">
        <f t="shared" si="2"/>
        <v>12</v>
      </c>
      <c r="G8" s="494">
        <f t="shared" si="3"/>
        <v>0</v>
      </c>
      <c r="H8" s="490">
        <f>歳入款別!H21</f>
        <v>13010</v>
      </c>
      <c r="I8" s="494">
        <f t="shared" si="4"/>
        <v>0</v>
      </c>
      <c r="J8" s="495">
        <f t="shared" si="5"/>
        <v>1.163E-2</v>
      </c>
      <c r="K8" s="496">
        <f t="shared" si="6"/>
        <v>18</v>
      </c>
      <c r="L8" s="494">
        <f t="shared" si="7"/>
        <v>0</v>
      </c>
      <c r="M8" s="497">
        <f t="shared" si="8"/>
        <v>38990</v>
      </c>
      <c r="N8" s="498">
        <f t="shared" si="9"/>
        <v>299.7</v>
      </c>
    </row>
    <row r="9" spans="1:16" s="280" customFormat="1" ht="33" customHeight="1">
      <c r="A9" s="742"/>
      <c r="B9" s="528" t="s">
        <v>49</v>
      </c>
      <c r="C9" s="501">
        <f>歳入款別!C22</f>
        <v>7138910</v>
      </c>
      <c r="D9" s="494">
        <f t="shared" si="0"/>
        <v>6.1</v>
      </c>
      <c r="E9" s="495">
        <f t="shared" si="1"/>
        <v>7.0190000000000197E-2</v>
      </c>
      <c r="F9" s="496">
        <f t="shared" si="2"/>
        <v>5</v>
      </c>
      <c r="G9" s="494">
        <f t="shared" si="3"/>
        <v>6.1999999999999993</v>
      </c>
      <c r="H9" s="501">
        <f>歳入款別!H22</f>
        <v>6942710</v>
      </c>
      <c r="I9" s="494">
        <f t="shared" si="4"/>
        <v>6.2</v>
      </c>
      <c r="J9" s="495">
        <f t="shared" si="5"/>
        <v>9.9299999999997723E-3</v>
      </c>
      <c r="K9" s="496">
        <f t="shared" si="6"/>
        <v>19</v>
      </c>
      <c r="L9" s="494">
        <f t="shared" si="7"/>
        <v>6.2</v>
      </c>
      <c r="M9" s="497">
        <f t="shared" si="8"/>
        <v>196200</v>
      </c>
      <c r="N9" s="498">
        <f t="shared" si="9"/>
        <v>2.8</v>
      </c>
    </row>
    <row r="10" spans="1:16" s="280" customFormat="1" ht="33" customHeight="1">
      <c r="A10" s="742"/>
      <c r="B10" s="528" t="s">
        <v>50</v>
      </c>
      <c r="C10" s="490">
        <f>歳入款別!C23</f>
        <v>1000000</v>
      </c>
      <c r="D10" s="494">
        <f t="shared" si="0"/>
        <v>0.8</v>
      </c>
      <c r="E10" s="495">
        <f t="shared" si="1"/>
        <v>6.4299999999999913E-2</v>
      </c>
      <c r="F10" s="496">
        <f t="shared" si="2"/>
        <v>6</v>
      </c>
      <c r="G10" s="494">
        <f t="shared" si="3"/>
        <v>0.9</v>
      </c>
      <c r="H10" s="490">
        <f>歳入款別!H23</f>
        <v>1000000</v>
      </c>
      <c r="I10" s="494">
        <f t="shared" si="4"/>
        <v>0.8</v>
      </c>
      <c r="J10" s="495">
        <f t="shared" si="5"/>
        <v>9.4449999999999923E-2</v>
      </c>
      <c r="K10" s="496">
        <f t="shared" si="6"/>
        <v>1</v>
      </c>
      <c r="L10" s="494">
        <f t="shared" si="7"/>
        <v>0.9</v>
      </c>
      <c r="M10" s="497">
        <f t="shared" si="8"/>
        <v>0</v>
      </c>
      <c r="N10" s="498">
        <f t="shared" si="9"/>
        <v>0</v>
      </c>
    </row>
    <row r="11" spans="1:16" s="280" customFormat="1" ht="33" customHeight="1">
      <c r="A11" s="742"/>
      <c r="B11" s="528" t="s">
        <v>51</v>
      </c>
      <c r="C11" s="490">
        <f>歳入款別!C24</f>
        <v>3016865</v>
      </c>
      <c r="D11" s="494">
        <f t="shared" si="0"/>
        <v>2.6</v>
      </c>
      <c r="E11" s="495">
        <f t="shared" si="1"/>
        <v>7.4799999999997091E-3</v>
      </c>
      <c r="F11" s="496">
        <f t="shared" si="2"/>
        <v>21</v>
      </c>
      <c r="G11" s="494">
        <f t="shared" si="3"/>
        <v>2.6</v>
      </c>
      <c r="H11" s="490">
        <f>歳入款別!H24</f>
        <v>3201055</v>
      </c>
      <c r="I11" s="494">
        <f t="shared" si="4"/>
        <v>2.8</v>
      </c>
      <c r="J11" s="495">
        <f t="shared" si="5"/>
        <v>6.3190000000000079E-2</v>
      </c>
      <c r="K11" s="496">
        <f t="shared" si="6"/>
        <v>6</v>
      </c>
      <c r="L11" s="494">
        <f t="shared" si="7"/>
        <v>2.9</v>
      </c>
      <c r="M11" s="497">
        <f t="shared" si="8"/>
        <v>-184190</v>
      </c>
      <c r="N11" s="498">
        <f>IF(C11="-","　皆減",ROUND((C11/H11*100)-100,1))</f>
        <v>-5.8</v>
      </c>
    </row>
    <row r="12" spans="1:16" s="280" customFormat="1" ht="33" customHeight="1">
      <c r="A12" s="742"/>
      <c r="B12" s="525" t="s">
        <v>81</v>
      </c>
      <c r="C12" s="490">
        <f>SUM(C4:C11)</f>
        <v>60524590</v>
      </c>
      <c r="D12" s="494"/>
      <c r="E12" s="495"/>
      <c r="F12" s="496"/>
      <c r="G12" s="494">
        <f>SUM(G4:G11)</f>
        <v>52.400000000000006</v>
      </c>
      <c r="H12" s="490">
        <f>SUM(H4:H11)</f>
        <v>61448740</v>
      </c>
      <c r="I12" s="494"/>
      <c r="J12" s="495"/>
      <c r="K12" s="496"/>
      <c r="L12" s="494">
        <f>SUM(L4:L11)</f>
        <v>55</v>
      </c>
      <c r="M12" s="497">
        <f>SUM(M4:M11)</f>
        <v>-924150</v>
      </c>
      <c r="N12" s="498">
        <f t="shared" si="9"/>
        <v>-1.5</v>
      </c>
    </row>
    <row r="13" spans="1:16" s="280" customFormat="1" ht="33" customHeight="1">
      <c r="A13" s="741" t="s">
        <v>86</v>
      </c>
      <c r="B13" s="528" t="s">
        <v>47</v>
      </c>
      <c r="C13" s="490">
        <f>歳入款別!C6</f>
        <v>717000</v>
      </c>
      <c r="D13" s="494">
        <f t="shared" ref="D13:D25" si="10">ROUNDDOWN(C13/C$27*100,1)</f>
        <v>0.6</v>
      </c>
      <c r="E13" s="495">
        <f t="shared" ref="E13:E25" si="11">IF(C13="-",0,ROUNDDOWN(C13/C$27*100,5)-D13)</f>
        <v>1.9700000000000051E-2</v>
      </c>
      <c r="F13" s="496">
        <f t="shared" ref="F13:F25" si="12">RANK(E13,E$4:E$26)</f>
        <v>18</v>
      </c>
      <c r="G13" s="494">
        <f t="shared" ref="G13:G25" si="13">IF(F13&lt;=D$28,D13+0.1,D13)</f>
        <v>0.6</v>
      </c>
      <c r="H13" s="490">
        <f>歳入款別!H6</f>
        <v>716000</v>
      </c>
      <c r="I13" s="494">
        <f t="shared" ref="I13:I25" si="14">ROUNDDOWN(H13/H$27*100,1)</f>
        <v>0.6</v>
      </c>
      <c r="J13" s="495">
        <f t="shared" ref="J13:J25" si="15">IF(H13="-",0,ROUNDDOWN(H13/H$27*100,5)-I13)</f>
        <v>4.0420000000000011E-2</v>
      </c>
      <c r="K13" s="496">
        <f t="shared" ref="K13:K25" si="16">RANK(J13,J$4:J$26)</f>
        <v>12</v>
      </c>
      <c r="L13" s="494">
        <f t="shared" ref="L13:L25" si="17">IF(K13&lt;=I$28,I13+0.1,I13)</f>
        <v>0.6</v>
      </c>
      <c r="M13" s="497">
        <f>C13-H13</f>
        <v>1000</v>
      </c>
      <c r="N13" s="498">
        <f t="shared" si="9"/>
        <v>0.1</v>
      </c>
    </row>
    <row r="14" spans="1:16" s="280" customFormat="1" ht="33" customHeight="1">
      <c r="A14" s="742"/>
      <c r="B14" s="528" t="s">
        <v>19</v>
      </c>
      <c r="C14" s="490">
        <f>歳入款別!C7</f>
        <v>20000</v>
      </c>
      <c r="D14" s="494">
        <f t="shared" si="10"/>
        <v>0</v>
      </c>
      <c r="E14" s="495">
        <f t="shared" si="11"/>
        <v>1.728E-2</v>
      </c>
      <c r="F14" s="496">
        <f t="shared" si="12"/>
        <v>19</v>
      </c>
      <c r="G14" s="494">
        <f t="shared" si="13"/>
        <v>0</v>
      </c>
      <c r="H14" s="490">
        <f>歳入款別!H7</f>
        <v>20000</v>
      </c>
      <c r="I14" s="494">
        <f t="shared" si="14"/>
        <v>0</v>
      </c>
      <c r="J14" s="495">
        <f t="shared" si="15"/>
        <v>1.788E-2</v>
      </c>
      <c r="K14" s="496">
        <f t="shared" si="16"/>
        <v>15</v>
      </c>
      <c r="L14" s="494">
        <f t="shared" si="17"/>
        <v>0</v>
      </c>
      <c r="M14" s="497">
        <f>C14-H14</f>
        <v>0</v>
      </c>
      <c r="N14" s="498">
        <f t="shared" si="9"/>
        <v>0</v>
      </c>
    </row>
    <row r="15" spans="1:16" s="280" customFormat="1" ht="33" customHeight="1">
      <c r="A15" s="742"/>
      <c r="B15" s="528" t="s">
        <v>83</v>
      </c>
      <c r="C15" s="490">
        <f>歳入款別!C8</f>
        <v>250000</v>
      </c>
      <c r="D15" s="494">
        <f t="shared" si="10"/>
        <v>0.2</v>
      </c>
      <c r="E15" s="495">
        <f t="shared" si="11"/>
        <v>1.6070000000000001E-2</v>
      </c>
      <c r="F15" s="496">
        <f t="shared" si="12"/>
        <v>20</v>
      </c>
      <c r="G15" s="494">
        <f t="shared" si="13"/>
        <v>0.2</v>
      </c>
      <c r="H15" s="490">
        <f>歳入款別!H8</f>
        <v>250000</v>
      </c>
      <c r="I15" s="494">
        <f t="shared" si="14"/>
        <v>0.2</v>
      </c>
      <c r="J15" s="495">
        <f t="shared" si="15"/>
        <v>2.3609999999999992E-2</v>
      </c>
      <c r="K15" s="496">
        <f t="shared" si="16"/>
        <v>14</v>
      </c>
      <c r="L15" s="494">
        <f t="shared" si="17"/>
        <v>0.2</v>
      </c>
      <c r="M15" s="497">
        <f t="shared" ref="M15:M24" si="18">C15-H15</f>
        <v>0</v>
      </c>
      <c r="N15" s="498">
        <f t="shared" si="9"/>
        <v>0</v>
      </c>
    </row>
    <row r="16" spans="1:16" s="280" customFormat="1" ht="33" customHeight="1">
      <c r="A16" s="742"/>
      <c r="B16" s="529" t="s">
        <v>84</v>
      </c>
      <c r="C16" s="490">
        <f>歳入款別!C9</f>
        <v>200000</v>
      </c>
      <c r="D16" s="494">
        <f t="shared" si="10"/>
        <v>0.1</v>
      </c>
      <c r="E16" s="495">
        <f t="shared" si="11"/>
        <v>7.2860000000000008E-2</v>
      </c>
      <c r="F16" s="496">
        <f t="shared" si="12"/>
        <v>4</v>
      </c>
      <c r="G16" s="494">
        <f t="shared" si="13"/>
        <v>0.2</v>
      </c>
      <c r="H16" s="490">
        <f>歳入款別!H9</f>
        <v>200000</v>
      </c>
      <c r="I16" s="494">
        <f t="shared" si="14"/>
        <v>0.1</v>
      </c>
      <c r="J16" s="495">
        <f t="shared" si="15"/>
        <v>7.8889999999999988E-2</v>
      </c>
      <c r="K16" s="496">
        <f t="shared" si="16"/>
        <v>3</v>
      </c>
      <c r="L16" s="494">
        <f t="shared" si="17"/>
        <v>0.2</v>
      </c>
      <c r="M16" s="497">
        <f t="shared" si="18"/>
        <v>0</v>
      </c>
      <c r="N16" s="498">
        <f t="shared" si="9"/>
        <v>0</v>
      </c>
    </row>
    <row r="17" spans="1:14" s="280" customFormat="1" ht="33" customHeight="1">
      <c r="A17" s="742"/>
      <c r="B17" s="528" t="s">
        <v>196</v>
      </c>
      <c r="C17" s="490">
        <f>歳入款別!C10</f>
        <v>500000</v>
      </c>
      <c r="D17" s="494">
        <f t="shared" si="10"/>
        <v>0.4</v>
      </c>
      <c r="E17" s="495">
        <f t="shared" si="11"/>
        <v>3.2149999999999956E-2</v>
      </c>
      <c r="F17" s="496">
        <f t="shared" si="12"/>
        <v>15</v>
      </c>
      <c r="G17" s="494">
        <f t="shared" si="13"/>
        <v>0.4</v>
      </c>
      <c r="H17" s="490">
        <f>歳入款別!H10</f>
        <v>500000</v>
      </c>
      <c r="I17" s="494">
        <f t="shared" si="14"/>
        <v>0.4</v>
      </c>
      <c r="J17" s="495">
        <f t="shared" si="15"/>
        <v>4.7219999999999984E-2</v>
      </c>
      <c r="K17" s="496">
        <f t="shared" si="16"/>
        <v>9</v>
      </c>
      <c r="L17" s="494">
        <f t="shared" si="17"/>
        <v>0.5</v>
      </c>
      <c r="M17" s="497">
        <f t="shared" ref="M17" si="19">C17-H17</f>
        <v>0</v>
      </c>
      <c r="N17" s="498">
        <f t="shared" si="9"/>
        <v>0</v>
      </c>
    </row>
    <row r="18" spans="1:14" s="280" customFormat="1" ht="33" customHeight="1">
      <c r="A18" s="742"/>
      <c r="B18" s="528" t="s">
        <v>20</v>
      </c>
      <c r="C18" s="490">
        <f>歳入款別!C11</f>
        <v>7700000</v>
      </c>
      <c r="D18" s="494">
        <f t="shared" si="10"/>
        <v>6.6</v>
      </c>
      <c r="E18" s="495">
        <f t="shared" si="11"/>
        <v>5.5140000000000633E-2</v>
      </c>
      <c r="F18" s="496">
        <f t="shared" si="12"/>
        <v>9</v>
      </c>
      <c r="G18" s="494">
        <f t="shared" si="13"/>
        <v>6.6999999999999993</v>
      </c>
      <c r="H18" s="490">
        <f>歳入款別!H11</f>
        <v>7800000</v>
      </c>
      <c r="I18" s="494">
        <f t="shared" si="14"/>
        <v>6.9</v>
      </c>
      <c r="J18" s="495">
        <f t="shared" si="15"/>
        <v>7.674000000000003E-2</v>
      </c>
      <c r="K18" s="496">
        <f t="shared" si="16"/>
        <v>4</v>
      </c>
      <c r="L18" s="494">
        <f t="shared" si="17"/>
        <v>7</v>
      </c>
      <c r="M18" s="497">
        <f t="shared" si="18"/>
        <v>-100000</v>
      </c>
      <c r="N18" s="498">
        <f t="shared" si="9"/>
        <v>-1.3</v>
      </c>
    </row>
    <row r="19" spans="1:14" s="280" customFormat="1" ht="33" customHeight="1">
      <c r="A19" s="742"/>
      <c r="B19" s="528" t="s">
        <v>190</v>
      </c>
      <c r="C19" s="490">
        <f>歳入款別!C12</f>
        <v>170000</v>
      </c>
      <c r="D19" s="494">
        <f t="shared" si="10"/>
        <v>0.1</v>
      </c>
      <c r="E19" s="495">
        <f t="shared" si="11"/>
        <v>4.6929999999999999E-2</v>
      </c>
      <c r="F19" s="496">
        <f t="shared" si="12"/>
        <v>11</v>
      </c>
      <c r="G19" s="494">
        <f t="shared" si="13"/>
        <v>0.1</v>
      </c>
      <c r="H19" s="490">
        <f>歳入款別!H12</f>
        <v>120000</v>
      </c>
      <c r="I19" s="494">
        <f t="shared" si="14"/>
        <v>0.1</v>
      </c>
      <c r="J19" s="495">
        <f t="shared" si="15"/>
        <v>7.3299999999999893E-3</v>
      </c>
      <c r="K19" s="496">
        <f t="shared" si="16"/>
        <v>20</v>
      </c>
      <c r="L19" s="494">
        <f t="shared" si="17"/>
        <v>0.1</v>
      </c>
      <c r="M19" s="497">
        <f t="shared" ref="M19" si="20">C19-H19</f>
        <v>50000</v>
      </c>
      <c r="N19" s="498">
        <f t="shared" ref="N19" si="21">IF(C19="-","　皆減",ROUND((C19/H19*100)-100,1))</f>
        <v>41.7</v>
      </c>
    </row>
    <row r="20" spans="1:14" s="280" customFormat="1" ht="33" customHeight="1">
      <c r="A20" s="742"/>
      <c r="B20" s="528" t="s">
        <v>22</v>
      </c>
      <c r="C20" s="490">
        <f>歳入款別!C13</f>
        <v>1990000</v>
      </c>
      <c r="D20" s="494">
        <f t="shared" si="10"/>
        <v>1.7</v>
      </c>
      <c r="E20" s="495">
        <f t="shared" si="11"/>
        <v>1.9959999999999978E-2</v>
      </c>
      <c r="F20" s="496">
        <f t="shared" si="12"/>
        <v>17</v>
      </c>
      <c r="G20" s="494">
        <f t="shared" si="13"/>
        <v>1.7</v>
      </c>
      <c r="H20" s="490">
        <f>歳入款別!H13</f>
        <v>440000</v>
      </c>
      <c r="I20" s="494">
        <f t="shared" si="14"/>
        <v>0.3</v>
      </c>
      <c r="J20" s="495">
        <f t="shared" si="15"/>
        <v>9.3550000000000022E-2</v>
      </c>
      <c r="K20" s="496">
        <f t="shared" si="16"/>
        <v>2</v>
      </c>
      <c r="L20" s="494">
        <f t="shared" si="17"/>
        <v>0.4</v>
      </c>
      <c r="M20" s="497">
        <f t="shared" si="18"/>
        <v>1550000</v>
      </c>
      <c r="N20" s="498">
        <f t="shared" si="9"/>
        <v>352.3</v>
      </c>
    </row>
    <row r="21" spans="1:14" s="280" customFormat="1" ht="33" customHeight="1">
      <c r="A21" s="742"/>
      <c r="B21" s="528" t="s">
        <v>23</v>
      </c>
      <c r="C21" s="490">
        <f>歳入款別!C14</f>
        <v>5900000</v>
      </c>
      <c r="D21" s="494">
        <f t="shared" si="10"/>
        <v>5</v>
      </c>
      <c r="E21" s="495">
        <f t="shared" si="11"/>
        <v>9.9389999999999645E-2</v>
      </c>
      <c r="F21" s="496">
        <f t="shared" si="12"/>
        <v>1</v>
      </c>
      <c r="G21" s="494">
        <f t="shared" si="13"/>
        <v>5.0999999999999996</v>
      </c>
      <c r="H21" s="490">
        <f>歳入款別!H14</f>
        <v>4200000</v>
      </c>
      <c r="I21" s="494">
        <f t="shared" si="14"/>
        <v>3.7</v>
      </c>
      <c r="J21" s="495">
        <f t="shared" si="15"/>
        <v>5.6699999999999751E-2</v>
      </c>
      <c r="K21" s="496">
        <f t="shared" si="16"/>
        <v>7</v>
      </c>
      <c r="L21" s="494">
        <f t="shared" si="17"/>
        <v>3.8000000000000003</v>
      </c>
      <c r="M21" s="497">
        <f t="shared" si="18"/>
        <v>1700000</v>
      </c>
      <c r="N21" s="498">
        <f t="shared" si="9"/>
        <v>40.5</v>
      </c>
    </row>
    <row r="22" spans="1:14" s="280" customFormat="1" ht="33" customHeight="1">
      <c r="A22" s="742"/>
      <c r="B22" s="529" t="s">
        <v>24</v>
      </c>
      <c r="C22" s="490">
        <f>歳入款別!C15</f>
        <v>42000</v>
      </c>
      <c r="D22" s="494">
        <f t="shared" si="10"/>
        <v>0</v>
      </c>
      <c r="E22" s="495">
        <f t="shared" si="11"/>
        <v>3.6299999999999999E-2</v>
      </c>
      <c r="F22" s="496">
        <f t="shared" si="12"/>
        <v>14</v>
      </c>
      <c r="G22" s="494">
        <f t="shared" si="13"/>
        <v>0</v>
      </c>
      <c r="H22" s="490">
        <f>歳入款別!H15</f>
        <v>42000</v>
      </c>
      <c r="I22" s="494">
        <f t="shared" si="14"/>
        <v>0</v>
      </c>
      <c r="J22" s="495">
        <f t="shared" si="15"/>
        <v>3.7560000000000003E-2</v>
      </c>
      <c r="K22" s="496">
        <f t="shared" si="16"/>
        <v>13</v>
      </c>
      <c r="L22" s="494">
        <f t="shared" si="17"/>
        <v>0</v>
      </c>
      <c r="M22" s="497">
        <f t="shared" si="18"/>
        <v>0</v>
      </c>
      <c r="N22" s="498">
        <f t="shared" si="9"/>
        <v>0</v>
      </c>
    </row>
    <row r="23" spans="1:14" s="280" customFormat="1" ht="33" customHeight="1">
      <c r="A23" s="742"/>
      <c r="B23" s="528" t="s">
        <v>26</v>
      </c>
      <c r="C23" s="490">
        <f>歳入款別!C18</f>
        <v>20868640</v>
      </c>
      <c r="D23" s="494">
        <f t="shared" si="10"/>
        <v>18</v>
      </c>
      <c r="E23" s="495">
        <f t="shared" si="11"/>
        <v>3.685000000000116E-2</v>
      </c>
      <c r="F23" s="496">
        <f t="shared" si="12"/>
        <v>13</v>
      </c>
      <c r="G23" s="494">
        <f t="shared" si="13"/>
        <v>18</v>
      </c>
      <c r="H23" s="490">
        <f>歳入款別!H18</f>
        <v>20504780</v>
      </c>
      <c r="I23" s="494">
        <f t="shared" si="14"/>
        <v>18.3</v>
      </c>
      <c r="J23" s="495">
        <f t="shared" si="15"/>
        <v>4.0589999999998128E-2</v>
      </c>
      <c r="K23" s="496">
        <f t="shared" si="16"/>
        <v>11</v>
      </c>
      <c r="L23" s="494">
        <f t="shared" si="17"/>
        <v>18.3</v>
      </c>
      <c r="M23" s="497">
        <f t="shared" si="18"/>
        <v>363860</v>
      </c>
      <c r="N23" s="498">
        <f t="shared" si="9"/>
        <v>1.8</v>
      </c>
    </row>
    <row r="24" spans="1:14" s="280" customFormat="1" ht="33" customHeight="1">
      <c r="A24" s="742"/>
      <c r="B24" s="528" t="s">
        <v>27</v>
      </c>
      <c r="C24" s="490">
        <f>歳入款別!C19</f>
        <v>7607370</v>
      </c>
      <c r="D24" s="494">
        <f t="shared" si="10"/>
        <v>6.5</v>
      </c>
      <c r="E24" s="495">
        <f t="shared" si="11"/>
        <v>7.5079999999999814E-2</v>
      </c>
      <c r="F24" s="496">
        <f t="shared" si="12"/>
        <v>3</v>
      </c>
      <c r="G24" s="494">
        <f t="shared" si="13"/>
        <v>6.6</v>
      </c>
      <c r="H24" s="490">
        <f>歳入款別!H19</f>
        <v>7394680</v>
      </c>
      <c r="I24" s="494">
        <f t="shared" si="14"/>
        <v>6.6</v>
      </c>
      <c r="J24" s="495">
        <f t="shared" si="15"/>
        <v>1.4200000000000657E-2</v>
      </c>
      <c r="K24" s="496">
        <f t="shared" si="16"/>
        <v>16</v>
      </c>
      <c r="L24" s="494">
        <f t="shared" si="17"/>
        <v>6.6</v>
      </c>
      <c r="M24" s="497">
        <f t="shared" si="18"/>
        <v>212690</v>
      </c>
      <c r="N24" s="498">
        <f t="shared" si="9"/>
        <v>2.9</v>
      </c>
    </row>
    <row r="25" spans="1:14" s="280" customFormat="1" ht="33" customHeight="1">
      <c r="A25" s="742"/>
      <c r="B25" s="528" t="s">
        <v>52</v>
      </c>
      <c r="C25" s="490">
        <f>歳入款別!C25</f>
        <v>9210400</v>
      </c>
      <c r="D25" s="494">
        <f t="shared" si="10"/>
        <v>7.9</v>
      </c>
      <c r="E25" s="495">
        <f t="shared" si="11"/>
        <v>6.0579999999999856E-2</v>
      </c>
      <c r="F25" s="496">
        <f t="shared" si="12"/>
        <v>7</v>
      </c>
      <c r="G25" s="494">
        <f t="shared" si="13"/>
        <v>8</v>
      </c>
      <c r="H25" s="490">
        <f>歳入款別!H25</f>
        <v>8163800</v>
      </c>
      <c r="I25" s="494">
        <f t="shared" si="14"/>
        <v>7.3</v>
      </c>
      <c r="J25" s="495">
        <f t="shared" si="15"/>
        <v>2.1399999999998087E-3</v>
      </c>
      <c r="K25" s="496">
        <f t="shared" si="16"/>
        <v>21</v>
      </c>
      <c r="L25" s="494">
        <f t="shared" si="17"/>
        <v>7.3</v>
      </c>
      <c r="M25" s="497">
        <f>C25-H25</f>
        <v>1046600</v>
      </c>
      <c r="N25" s="498">
        <f t="shared" si="9"/>
        <v>12.8</v>
      </c>
    </row>
    <row r="26" spans="1:14" s="280" customFormat="1" ht="33" customHeight="1" thickBot="1">
      <c r="A26" s="743"/>
      <c r="B26" s="526" t="s">
        <v>81</v>
      </c>
      <c r="C26" s="510">
        <f>SUM(C13:C25)</f>
        <v>55175410</v>
      </c>
      <c r="D26" s="508"/>
      <c r="E26" s="508"/>
      <c r="F26" s="508"/>
      <c r="G26" s="508">
        <f>SUM(G13:G25)</f>
        <v>47.6</v>
      </c>
      <c r="H26" s="510">
        <f>SUM(H13:H25)</f>
        <v>50351260</v>
      </c>
      <c r="I26" s="508"/>
      <c r="J26" s="508"/>
      <c r="K26" s="508"/>
      <c r="L26" s="508">
        <f>SUM(L13:L25)</f>
        <v>45</v>
      </c>
      <c r="M26" s="511">
        <f>SUM(M13:M25)</f>
        <v>4824150</v>
      </c>
      <c r="N26" s="512">
        <f t="shared" si="9"/>
        <v>9.6</v>
      </c>
    </row>
    <row r="27" spans="1:14" s="280" customFormat="1" ht="33" customHeight="1" thickTop="1">
      <c r="A27" s="709" t="s">
        <v>53</v>
      </c>
      <c r="B27" s="710"/>
      <c r="C27" s="482">
        <f>SUM(C26,C12)</f>
        <v>115700000</v>
      </c>
      <c r="D27" s="485">
        <f>SUM(D4:D26)</f>
        <v>99.000000000000014</v>
      </c>
      <c r="E27" s="482">
        <f>SUM(E26,E12)</f>
        <v>0</v>
      </c>
      <c r="F27" s="482"/>
      <c r="G27" s="485">
        <f>SUM(G26,G12)</f>
        <v>100</v>
      </c>
      <c r="H27" s="482">
        <f>SUM(H26,H12)</f>
        <v>111800000</v>
      </c>
      <c r="I27" s="485">
        <f>SUM(I4:I26)</f>
        <v>99.09999999999998</v>
      </c>
      <c r="J27" s="482">
        <f>SUM(J26,J12)</f>
        <v>0</v>
      </c>
      <c r="K27" s="482"/>
      <c r="L27" s="485">
        <f>SUM(L26,L12)</f>
        <v>100</v>
      </c>
      <c r="M27" s="486">
        <f>SUM(M26,M12)</f>
        <v>3900000</v>
      </c>
      <c r="N27" s="487">
        <f t="shared" si="9"/>
        <v>3.5</v>
      </c>
    </row>
    <row r="28" spans="1:14">
      <c r="D28" s="281">
        <f>ROUND(1000-INT(D27*10),0)</f>
        <v>10</v>
      </c>
      <c r="I28" s="255">
        <f>1000-INT(I27*10)</f>
        <v>9</v>
      </c>
    </row>
    <row r="47" spans="46:82">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3"/>
      <c r="BR47" s="323"/>
      <c r="BS47" s="323"/>
      <c r="BT47" s="323"/>
      <c r="BU47" s="323"/>
      <c r="BV47" s="323"/>
      <c r="BW47" s="323"/>
      <c r="BX47" s="323"/>
      <c r="BY47" s="323"/>
      <c r="BZ47" s="323"/>
      <c r="CA47" s="323"/>
      <c r="CB47" s="323"/>
      <c r="CC47" s="323"/>
      <c r="CD47" s="323"/>
    </row>
    <row r="48" spans="46:82">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3"/>
      <c r="BR48" s="323"/>
      <c r="BS48" s="323"/>
      <c r="BT48" s="323"/>
      <c r="BU48" s="323"/>
      <c r="BV48" s="323"/>
      <c r="BW48" s="323"/>
      <c r="BX48" s="323"/>
      <c r="BY48" s="323"/>
      <c r="BZ48" s="323"/>
      <c r="CA48" s="323"/>
      <c r="CB48" s="323"/>
      <c r="CC48" s="323"/>
      <c r="CD48" s="323"/>
    </row>
  </sheetData>
  <mergeCells count="4">
    <mergeCell ref="A1:N1"/>
    <mergeCell ref="A4:A12"/>
    <mergeCell ref="A27:B27"/>
    <mergeCell ref="A13:A26"/>
  </mergeCells>
  <phoneticPr fontId="6"/>
  <printOptions horizontalCentered="1"/>
  <pageMargins left="0.19685039370078741" right="0.19685039370078741" top="0.47244094488188981" bottom="0" header="0.51181102362204722" footer="0"/>
  <pageSetup paperSize="9" scale="95"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会計一覧</vt:lpstr>
      <vt:lpstr>会計一覧　下段コメント用</vt:lpstr>
      <vt:lpstr>歳入款別</vt:lpstr>
      <vt:lpstr>歳入款別G</vt:lpstr>
      <vt:lpstr>歳出目的別</vt:lpstr>
      <vt:lpstr>歳出目的別 G</vt:lpstr>
      <vt:lpstr>歳出性質別</vt:lpstr>
      <vt:lpstr>歳出性質別 G</vt:lpstr>
      <vt:lpstr>財源</vt:lpstr>
      <vt:lpstr>財源G</vt:lpstr>
      <vt:lpstr>債務負担（黒）</vt:lpstr>
      <vt:lpstr>市債</vt:lpstr>
      <vt:lpstr>市債G</vt:lpstr>
      <vt:lpstr>グラフデータ</vt:lpstr>
      <vt:lpstr>会計別一覧表</vt:lpstr>
      <vt:lpstr>一般会計　歳入款別</vt:lpstr>
      <vt:lpstr>一般会計　歳出目的別</vt:lpstr>
      <vt:lpstr>一般会計　歳出性質別</vt:lpstr>
      <vt:lpstr>自主財源と依存財源</vt:lpstr>
      <vt:lpstr>債務負担行為</vt:lpstr>
      <vt:lpstr>地方債</vt:lpstr>
      <vt:lpstr>款別主要事業　歳入</vt:lpstr>
      <vt:lpstr>款別主要事業　歳出 </vt:lpstr>
      <vt:lpstr>グラフデータ!Print_Area</vt:lpstr>
      <vt:lpstr>会計一覧!Print_Area</vt:lpstr>
      <vt:lpstr>'会計一覧　下段コメント用'!Print_Area</vt:lpstr>
      <vt:lpstr>'款別主要事業　歳出 '!Print_Area</vt:lpstr>
      <vt:lpstr>'款別主要事業　歳入'!Print_Area</vt:lpstr>
      <vt:lpstr>'債務負担（黒）'!Print_Area</vt:lpstr>
      <vt:lpstr>歳出性質別!Print_Area</vt:lpstr>
      <vt:lpstr>'歳出性質別 G'!Print_Area</vt:lpstr>
      <vt:lpstr>歳出目的別!Print_Area</vt:lpstr>
      <vt:lpstr>'歳出目的別 G'!Print_Area</vt:lpstr>
      <vt:lpstr>歳入款別!Print_Area</vt:lpstr>
      <vt:lpstr>歳入款別G!Print_Area</vt:lpstr>
      <vt:lpstr>財源!Print_Area</vt:lpstr>
      <vt:lpstr>財源G!Print_Area</vt:lpstr>
      <vt:lpstr>市債!Print_Area</vt:lpstr>
      <vt:lpstr>市債G!Print_Area</vt:lpstr>
      <vt:lpstr>'款別主要事業　歳出 '!Print_Titles</vt:lpstr>
      <vt:lpstr>'款別主要事業　歳入'!Print_Titles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WSN210</dc:creator>
  <cp:lastModifiedBy>Administrator</cp:lastModifiedBy>
  <cp:lastPrinted>2024-03-27T01:32:39Z</cp:lastPrinted>
  <dcterms:created xsi:type="dcterms:W3CDTF">2001-07-12T06:32:07Z</dcterms:created>
  <dcterms:modified xsi:type="dcterms:W3CDTF">2024-03-27T01:32:46Z</dcterms:modified>
</cp:coreProperties>
</file>